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LA PALMA - ENERO 2019\1. PAS 2019 - LA PALMA\"/>
    </mc:Choice>
  </mc:AlternateContent>
  <bookViews>
    <workbookView xWindow="-120" yWindow="-120" windowWidth="20730" windowHeight="11160"/>
  </bookViews>
  <sheets>
    <sheet name=" Plan Indicativo - II sem 2019" sheetId="1" r:id="rId1"/>
  </sheets>
  <definedNames>
    <definedName name="_xlnm.Print_Titles" localSheetId="0">' Plan Indicativo - II sem 2019'!$12:$14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73" i="1" l="1"/>
  <c r="AD72" i="1"/>
  <c r="AD71" i="1"/>
  <c r="AD70" i="1"/>
  <c r="AD69" i="1"/>
  <c r="AD68" i="1"/>
  <c r="AD67" i="1"/>
  <c r="AD66" i="1"/>
  <c r="AD65" i="1"/>
  <c r="AD64" i="1"/>
  <c r="AD63" i="1"/>
  <c r="AD62" i="1"/>
  <c r="AD61" i="1"/>
  <c r="AD60" i="1"/>
  <c r="M60" i="1"/>
  <c r="M59" i="1"/>
  <c r="AD58" i="1"/>
  <c r="AD57" i="1"/>
  <c r="AD55" i="1"/>
  <c r="AD53" i="1"/>
  <c r="AD51" i="1"/>
  <c r="AD52" i="1"/>
  <c r="AD49" i="1"/>
  <c r="AD50" i="1"/>
  <c r="AD48" i="1"/>
  <c r="AD47" i="1"/>
  <c r="M47" i="1"/>
  <c r="AD46" i="1"/>
  <c r="M46" i="1"/>
  <c r="M42" i="1"/>
  <c r="AD41" i="1"/>
  <c r="AB40" i="1"/>
  <c r="AD40" i="1"/>
  <c r="AD39" i="1"/>
  <c r="AD38" i="1"/>
  <c r="AD37" i="1"/>
  <c r="AD36" i="1" l="1"/>
  <c r="AD35" i="1"/>
  <c r="AB35" i="1"/>
  <c r="AB34" i="1"/>
  <c r="AD34" i="1"/>
  <c r="M34" i="1"/>
  <c r="AD33" i="1"/>
  <c r="AD32" i="1"/>
  <c r="AD30" i="1"/>
  <c r="AD26" i="1"/>
  <c r="AD29" i="1"/>
  <c r="V28" i="1"/>
  <c r="AD28" i="1"/>
  <c r="AB28" i="1"/>
  <c r="AD27" i="1"/>
  <c r="AB27" i="1"/>
  <c r="AD25" i="1"/>
  <c r="AB24" i="1"/>
  <c r="AD24" i="1"/>
  <c r="M24" i="1"/>
  <c r="M22" i="1"/>
  <c r="AB23" i="1"/>
  <c r="AD23" i="1"/>
  <c r="AB22" i="1"/>
  <c r="AD22" i="1"/>
  <c r="AD21" i="1"/>
  <c r="AD20" i="1"/>
  <c r="M20" i="1"/>
  <c r="M18" i="1"/>
  <c r="AB19" i="1"/>
  <c r="AD19" i="1"/>
  <c r="AD18" i="1"/>
  <c r="M17" i="1"/>
  <c r="AD17" i="1"/>
  <c r="M16" i="1"/>
  <c r="AD16" i="1"/>
  <c r="M15" i="1"/>
  <c r="AD15" i="1" l="1"/>
  <c r="AB56" i="1" l="1"/>
  <c r="Z32" i="1" l="1"/>
  <c r="N59" i="1" l="1"/>
  <c r="M53" i="1"/>
  <c r="N48" i="1"/>
  <c r="N46" i="1"/>
  <c r="N45" i="1"/>
  <c r="M43" i="1"/>
  <c r="N43" i="1" s="1"/>
  <c r="N42" i="1"/>
  <c r="J34" i="1"/>
  <c r="AB36" i="1"/>
  <c r="V36" i="1"/>
  <c r="M26" i="1"/>
  <c r="N26" i="1" s="1"/>
  <c r="N24" i="1" l="1"/>
  <c r="N22" i="1"/>
  <c r="N20" i="1"/>
  <c r="N18" i="1"/>
  <c r="N16" i="1"/>
  <c r="AB60" i="1" l="1"/>
  <c r="AB47" i="1"/>
  <c r="AB21" i="1" l="1"/>
  <c r="V17" i="1" l="1"/>
  <c r="AB17" i="1"/>
  <c r="AB16" i="1"/>
  <c r="N17" i="1" l="1"/>
  <c r="AD43" i="1"/>
  <c r="AB39" i="1"/>
  <c r="AB25" i="1"/>
  <c r="AB20" i="1"/>
  <c r="N74" i="1" l="1"/>
  <c r="Y41" i="1"/>
  <c r="Y22" i="1"/>
  <c r="N62" i="1"/>
  <c r="M62" i="1"/>
  <c r="J46" i="1" l="1"/>
  <c r="AB46" i="1"/>
  <c r="V46" i="1"/>
  <c r="Z41" i="1"/>
  <c r="AB41" i="1"/>
  <c r="AB72" i="1"/>
  <c r="AB71" i="1"/>
  <c r="AB70" i="1"/>
  <c r="AB69" i="1"/>
  <c r="AA69" i="1"/>
  <c r="AB67" i="1"/>
  <c r="AB63" i="1"/>
  <c r="AB62" i="1"/>
  <c r="AB61" i="1"/>
  <c r="AB58" i="1"/>
  <c r="AB57" i="1"/>
  <c r="AB55" i="1"/>
  <c r="AB53" i="1"/>
  <c r="AB52" i="1"/>
  <c r="AB51" i="1"/>
  <c r="AB50" i="1"/>
  <c r="AB49" i="1"/>
  <c r="AB48" i="1"/>
  <c r="AB43" i="1"/>
  <c r="AB38" i="1"/>
  <c r="AB37" i="1"/>
  <c r="AB33" i="1"/>
  <c r="AB32" i="1"/>
  <c r="AB30" i="1"/>
  <c r="AB29" i="1"/>
  <c r="AB26" i="1"/>
  <c r="Z22" i="1"/>
  <c r="AB18" i="1"/>
</calcChain>
</file>

<file path=xl/comments1.xml><?xml version="1.0" encoding="utf-8"?>
<comments xmlns="http://schemas.openxmlformats.org/spreadsheetml/2006/main">
  <authors>
    <author>Emma Adriana Ortiz Amezquita</author>
    <author>HOSPITAL</author>
    <author>DAYANNI</author>
    <author>user</author>
    <author>usuario</author>
    <author>Caja Calera</author>
    <author>sandr</author>
  </authors>
  <commentList>
    <comment ref="F11" authorId="0" shapeId="0">
      <text>
        <r>
          <rPr>
            <b/>
            <sz val="9"/>
            <color indexed="81"/>
            <rFont val="Tahoma"/>
            <family val="2"/>
          </rPr>
          <t>Emma Adriana Ortiz Amezquita:</t>
        </r>
        <r>
          <rPr>
            <sz val="9"/>
            <color indexed="81"/>
            <rFont val="Tahoma"/>
            <family val="2"/>
          </rPr>
          <t xml:space="preserve">
Corresponde al % de avance de la meta de producto= (ejecutado/programado)</t>
        </r>
      </text>
    </comment>
    <comment ref="J15" authorId="1" shapeId="0">
      <text>
        <r>
          <rPr>
            <b/>
            <sz val="9"/>
            <color indexed="81"/>
            <rFont val="Tahoma"/>
            <family val="2"/>
          </rPr>
          <t>HOSPITAL:</t>
        </r>
        <r>
          <rPr>
            <sz val="9"/>
            <color indexed="81"/>
            <rFont val="Tahoma"/>
            <family val="2"/>
          </rPr>
          <t xml:space="preserve">
Indicador definido para la meta de resultado</t>
        </r>
      </text>
    </comment>
    <comment ref="AB15" authorId="2" shapeId="0">
      <text>
        <r>
          <rPr>
            <b/>
            <sz val="9"/>
            <color indexed="81"/>
            <rFont val="Tahoma"/>
            <family val="2"/>
          </rPr>
          <t>DAYANNI:</t>
        </r>
        <r>
          <rPr>
            <sz val="9"/>
            <color indexed="81"/>
            <rFont val="Tahoma"/>
            <family val="2"/>
          </rPr>
          <t xml:space="preserve">
son 41/41 actividades realziadas = 100%  lo que equivale al 10%</t>
        </r>
      </text>
    </comment>
    <comment ref="G18" authorId="2" shapeId="0">
      <text>
        <r>
          <rPr>
            <b/>
            <sz val="9"/>
            <color indexed="81"/>
            <rFont val="Tahoma"/>
            <family val="2"/>
          </rPr>
          <t>DAYANNI:</t>
        </r>
        <r>
          <rPr>
            <sz val="9"/>
            <color indexed="81"/>
            <rFont val="Tahoma"/>
            <family val="2"/>
          </rPr>
          <t xml:space="preserve">
HTA  NUEVOS  214 EN EL 2018 (109+105)
LA PALMA 109 + 894 EXISTENTES = 1003
YACOPI 105 + 849 EXISTENTE = 954
TOTAL (1003 + 954) = 1957
DM NUEVOS  42 EN EL 2018 (21+21)
LA PALMA 21 + 31 EXISTENTES = 52
YACOPI 21 + 103 EXISTENTES = 124
TOTAL (52 + 124) = 176
HTA + DM =1957+176 0 2133</t>
        </r>
      </text>
    </comment>
    <comment ref="I18" authorId="3" shapeId="0">
      <text>
        <r>
          <rPr>
            <b/>
            <sz val="9"/>
            <color indexed="81"/>
            <rFont val="Tahoma"/>
            <family val="2"/>
          </rPr>
          <t>user:</t>
        </r>
        <r>
          <rPr>
            <sz val="9"/>
            <color indexed="81"/>
            <rFont val="Tahoma"/>
            <family val="2"/>
          </rPr>
          <t xml:space="preserve">
</t>
        </r>
      </text>
    </comment>
    <comment ref="V26" authorId="3" shapeId="0">
      <text>
        <r>
          <rPr>
            <b/>
            <sz val="9"/>
            <color indexed="81"/>
            <rFont val="Tahoma"/>
            <family val="2"/>
          </rPr>
          <t>user:</t>
        </r>
        <r>
          <rPr>
            <sz val="9"/>
            <color indexed="81"/>
            <rFont val="Tahoma"/>
            <family val="2"/>
          </rPr>
          <t xml:space="preserve">
median canalizacion de mujeres</t>
        </r>
      </text>
    </comment>
    <comment ref="V27" authorId="3" shapeId="0">
      <text>
        <r>
          <rPr>
            <b/>
            <sz val="9"/>
            <color indexed="81"/>
            <rFont val="Tahoma"/>
            <family val="2"/>
          </rPr>
          <t>user:</t>
        </r>
        <r>
          <rPr>
            <sz val="9"/>
            <color indexed="81"/>
            <rFont val="Tahoma"/>
            <family val="2"/>
          </rPr>
          <t xml:space="preserve">
median canalizacion de mujeres</t>
        </r>
      </text>
    </comment>
    <comment ref="H46" authorId="2" shapeId="0">
      <text>
        <r>
          <rPr>
            <b/>
            <sz val="9"/>
            <color indexed="81"/>
            <rFont val="Tahoma"/>
            <family val="2"/>
          </rPr>
          <t>DAYANNI:</t>
        </r>
        <r>
          <rPr>
            <sz val="9"/>
            <color indexed="81"/>
            <rFont val="Tahoma"/>
            <family val="2"/>
          </rPr>
          <t xml:space="preserve">
Primera Infancia (0-5 años)
Infancia (6 - 11 años)
Adolescencia (12 - 18 años)
Juventud (14 - 26 años)
Adultez (27- 59 años)
Persona Mayor (60 años o mas) envejecimiento y vejez</t>
        </r>
      </text>
    </comment>
    <comment ref="L48" authorId="3" shapeId="0">
      <text>
        <r>
          <rPr>
            <b/>
            <sz val="9"/>
            <color indexed="81"/>
            <rFont val="Tahoma"/>
            <family val="2"/>
          </rPr>
          <t>SALE DEL PROMEDIO DE CUMPLIMIENTO DE LAS 5 METAS DE PRODUCTO RELACIONADAS</t>
        </r>
        <r>
          <rPr>
            <sz val="9"/>
            <color indexed="81"/>
            <rFont val="Tahoma"/>
            <family val="2"/>
          </rPr>
          <t xml:space="preserve">
</t>
        </r>
      </text>
    </comment>
    <comment ref="M48" authorId="2" shapeId="0">
      <text>
        <r>
          <rPr>
            <b/>
            <sz val="9"/>
            <color indexed="81"/>
            <rFont val="Tahoma"/>
            <family val="2"/>
          </rPr>
          <t>DAYANNI:</t>
        </r>
        <r>
          <rPr>
            <sz val="9"/>
            <color indexed="81"/>
            <rFont val="Tahoma"/>
            <family val="2"/>
          </rPr>
          <t xml:space="preserve">
Promedio de cumplimientos
SUH = 88%
PAMEC = 94%
INDICADORES = 100%
SATISFACCIÓN = 98%
SEGURIDAD PACIENTE =  85%</t>
        </r>
      </text>
    </comment>
    <comment ref="M53" authorId="2" shapeId="0">
      <text>
        <r>
          <rPr>
            <b/>
            <sz val="9"/>
            <color indexed="81"/>
            <rFont val="Tahoma"/>
            <family val="2"/>
          </rPr>
          <t>DAYANNI:</t>
        </r>
        <r>
          <rPr>
            <sz val="9"/>
            <color indexed="81"/>
            <rFont val="Tahoma"/>
            <family val="2"/>
          </rPr>
          <t xml:space="preserve">
Son 6 metas de producto a cumplir:
SIUS ASISTENCIAL
SIUS ADMINISTRATIVO
MANGO
SIVIGILA - ETV
CASOS VIOLENCIA - SIVIGILA
APS</t>
        </r>
      </text>
    </comment>
    <comment ref="L60" authorId="2" shapeId="0">
      <text>
        <r>
          <rPr>
            <b/>
            <sz val="9"/>
            <color indexed="81"/>
            <rFont val="Tahoma"/>
            <family val="2"/>
          </rPr>
          <t>DAYANNI:</t>
        </r>
        <r>
          <rPr>
            <sz val="9"/>
            <color indexed="81"/>
            <rFont val="Tahoma"/>
            <family val="2"/>
          </rPr>
          <t xml:space="preserve">
El % de cumplimiento sale de las actividades programadas en las metas de prodcuto de cartera y costos, en total son 12 actividades</t>
        </r>
      </text>
    </comment>
    <comment ref="M60" authorId="2" shapeId="0">
      <text>
        <r>
          <rPr>
            <b/>
            <sz val="9"/>
            <color indexed="81"/>
            <rFont val="Tahoma"/>
            <family val="2"/>
          </rPr>
          <t>DAYANNI:</t>
        </r>
        <r>
          <rPr>
            <sz val="9"/>
            <color indexed="81"/>
            <rFont val="Tahoma"/>
            <family val="2"/>
          </rPr>
          <t xml:space="preserve">
 Falta de la meta de costos la acctividad de Levantamiento de la información  de la matriz de costos en  cada una de las areas </t>
        </r>
      </text>
    </comment>
    <comment ref="V62" authorId="4" shapeId="0">
      <text>
        <r>
          <rPr>
            <sz val="9"/>
            <color indexed="81"/>
            <rFont val="Tahoma"/>
            <family val="2"/>
          </rPr>
          <t xml:space="preserve">Se  realiza diagnostico y se elaboro el documento </t>
        </r>
      </text>
    </comment>
    <comment ref="Y62" authorId="4" shapeId="0">
      <text>
        <r>
          <rPr>
            <sz val="9"/>
            <color indexed="81"/>
            <rFont val="Tahoma"/>
            <family val="2"/>
          </rPr>
          <t xml:space="preserve">Se  realiza diagnostico y se elaboro el documento </t>
        </r>
      </text>
    </comment>
    <comment ref="Z62" authorId="4" shapeId="0">
      <text>
        <r>
          <rPr>
            <sz val="9"/>
            <color indexed="81"/>
            <rFont val="Tahoma"/>
            <family val="2"/>
          </rPr>
          <t xml:space="preserve">Se  realiza diagnostico y se elaboro el documento </t>
        </r>
      </text>
    </comment>
    <comment ref="R71" authorId="5" shapeId="0">
      <text>
        <r>
          <rPr>
            <sz val="9"/>
            <color indexed="81"/>
            <rFont val="Tahoma"/>
            <family val="2"/>
          </rPr>
          <t>Decreto 415 de 2016
Artículo 2.2.35.3. Objetivos del fortalecimiento institucional. 
Decreto 1078 de 2015
Artículo 2.2.5.1.2.2 Instrumentos- Marco de Referencia de Arquitectura
Empresarial para la gestión de TI
LI.ES.05. Documentación de la estrategia de TI en el PETI 
Decreto 2573 de 2014: Por medio del cual se establecen los lineamientos generales de la Estrategia de Gobierno en Línea.
 Ley 1712 de 2014: Ley de trasparencia y de acceso a la información pública nacional.
 Acuerdo 03 de 2015 del AGN: Documento electrónicos.</t>
        </r>
      </text>
    </comment>
    <comment ref="V71" authorId="6" shapeId="0">
      <text>
        <r>
          <rPr>
            <b/>
            <sz val="9"/>
            <color indexed="81"/>
            <rFont val="Tahoma"/>
            <family val="2"/>
          </rPr>
          <t>sandr:</t>
        </r>
        <r>
          <rPr>
            <sz val="9"/>
            <color indexed="81"/>
            <rFont val="Tahoma"/>
            <family val="2"/>
          </rPr>
          <t xml:space="preserve">
documento, </t>
        </r>
      </text>
    </comment>
    <comment ref="Y71" authorId="6" shapeId="0">
      <text>
        <r>
          <rPr>
            <b/>
            <sz val="9"/>
            <color indexed="81"/>
            <rFont val="Tahoma"/>
            <family val="2"/>
          </rPr>
          <t>sandr:</t>
        </r>
        <r>
          <rPr>
            <sz val="9"/>
            <color indexed="81"/>
            <rFont val="Tahoma"/>
            <family val="2"/>
          </rPr>
          <t xml:space="preserve">
documento, </t>
        </r>
      </text>
    </comment>
    <comment ref="Z71" authorId="6" shapeId="0">
      <text>
        <r>
          <rPr>
            <b/>
            <sz val="9"/>
            <color indexed="81"/>
            <rFont val="Tahoma"/>
            <family val="2"/>
          </rPr>
          <t>sandr:</t>
        </r>
        <r>
          <rPr>
            <sz val="9"/>
            <color indexed="81"/>
            <rFont val="Tahoma"/>
            <family val="2"/>
          </rPr>
          <t xml:space="preserve">
documento, </t>
        </r>
      </text>
    </comment>
    <comment ref="V72" authorId="4" shapeId="0">
      <text>
        <r>
          <rPr>
            <b/>
            <sz val="9"/>
            <color indexed="81"/>
            <rFont val="Tahoma"/>
            <family val="2"/>
          </rPr>
          <t>usuario:</t>
        </r>
        <r>
          <rPr>
            <sz val="9"/>
            <color indexed="81"/>
            <rFont val="Tahoma"/>
            <family val="2"/>
          </rPr>
          <t xml:space="preserve">
Se cuenta con antivirus, usuarios creados con clav</t>
        </r>
      </text>
    </comment>
    <comment ref="Y72" authorId="4" shapeId="0">
      <text>
        <r>
          <rPr>
            <b/>
            <sz val="9"/>
            <color indexed="81"/>
            <rFont val="Tahoma"/>
            <family val="2"/>
          </rPr>
          <t>usuario:</t>
        </r>
        <r>
          <rPr>
            <sz val="9"/>
            <color indexed="81"/>
            <rFont val="Tahoma"/>
            <family val="2"/>
          </rPr>
          <t xml:space="preserve">
Se cuenta con antivirus, usuarios creados con clav</t>
        </r>
      </text>
    </comment>
    <comment ref="Z72" authorId="4" shapeId="0">
      <text>
        <r>
          <rPr>
            <b/>
            <sz val="9"/>
            <color indexed="81"/>
            <rFont val="Tahoma"/>
            <family val="2"/>
          </rPr>
          <t>usuario:</t>
        </r>
        <r>
          <rPr>
            <sz val="9"/>
            <color indexed="81"/>
            <rFont val="Tahoma"/>
            <family val="2"/>
          </rPr>
          <t xml:space="preserve">
Se cuenta con antivirus, usuarios creados con clav</t>
        </r>
      </text>
    </comment>
  </commentList>
</comments>
</file>

<file path=xl/sharedStrings.xml><?xml version="1.0" encoding="utf-8"?>
<sst xmlns="http://schemas.openxmlformats.org/spreadsheetml/2006/main" count="681" uniqueCount="398">
  <si>
    <t>GOBERNACIÓN DE CUNDINAMARCA</t>
  </si>
  <si>
    <t>SECRETARIA DE SALUD</t>
  </si>
  <si>
    <t>PLANES ESTRATEGICOS HOSPITALARIOS</t>
  </si>
  <si>
    <t>PLAN INDICATIVO DE SALUD</t>
  </si>
  <si>
    <r>
      <rPr>
        <b/>
        <sz val="11"/>
        <rFont val="Arial"/>
        <family val="2"/>
      </rPr>
      <t>Nombre de la IPS</t>
    </r>
    <r>
      <rPr>
        <sz val="11"/>
        <rFont val="Arial"/>
        <family val="2"/>
      </rPr>
      <t>: ESE HOSPITAL SAN JOSE DE LA PALMA</t>
    </r>
  </si>
  <si>
    <r>
      <rPr>
        <b/>
        <sz val="11"/>
        <rFont val="Arial"/>
        <family val="2"/>
      </rPr>
      <t>Código de habilitación de la IPS</t>
    </r>
    <r>
      <rPr>
        <sz val="11"/>
        <rFont val="Arial"/>
        <family val="2"/>
      </rPr>
      <t>: 257580005101</t>
    </r>
  </si>
  <si>
    <r>
      <t>Nombre del Gerente</t>
    </r>
    <r>
      <rPr>
        <sz val="11"/>
        <rFont val="Arial"/>
        <family val="2"/>
      </rPr>
      <t>: OSCAR ALBERTO SANCHEZ MUÑOZ</t>
    </r>
  </si>
  <si>
    <t>Eje del Plan Departamental de Desarrollo</t>
  </si>
  <si>
    <t>Objetivo Estratégico Institucional</t>
  </si>
  <si>
    <t xml:space="preserve">Dimensión 
Relacionada con el Plan Decenal de Salud Pública </t>
  </si>
  <si>
    <t>ITEM</t>
  </si>
  <si>
    <t>Meta de Resultado</t>
  </si>
  <si>
    <t>Indicador de resultado</t>
  </si>
  <si>
    <t>Valor esperado en el cuatrienio</t>
  </si>
  <si>
    <t>Ejecutado meta resultado</t>
  </si>
  <si>
    <t>Item</t>
  </si>
  <si>
    <t>Meta de producto anual</t>
  </si>
  <si>
    <t>Indicador de producto</t>
  </si>
  <si>
    <t>Valor esperado cuatrienio</t>
  </si>
  <si>
    <t xml:space="preserve">Responsables Institucionales </t>
  </si>
  <si>
    <t>E mail Responsable</t>
  </si>
  <si>
    <t>Nombre del indicador</t>
  </si>
  <si>
    <t>Descripción de la fórmula</t>
  </si>
  <si>
    <t>Unidad de medida</t>
  </si>
  <si>
    <t>Linea base</t>
  </si>
  <si>
    <t>Línea base</t>
  </si>
  <si>
    <t xml:space="preserve">Valor </t>
  </si>
  <si>
    <t>Año</t>
  </si>
  <si>
    <t>Valor</t>
  </si>
  <si>
    <t>TEJIDO SOCIAL
CUNDINAMARCA 2036.
INTEGRACIÓN Y GOBERNANZA.
COMPETITIVIDAD SOSTENIBLE.</t>
  </si>
  <si>
    <t>Lograr la ejecución de recursos con austeridad y transparencia, con el desarrollo exitoso de politicas para la gobernanza en salud</t>
  </si>
  <si>
    <t>DIMENSIÓN DE SALUD AMBIENTAL</t>
  </si>
  <si>
    <t>Plan de acción diseñado y ejecutado</t>
  </si>
  <si>
    <t># actividades desarrolladas/# actividades propuestas. * 100%</t>
  </si>
  <si>
    <t>Porcentaje</t>
  </si>
  <si>
    <t xml:space="preserve">Ingenira Ingrid Caceres </t>
  </si>
  <si>
    <t>ingrid890923@gmail.com</t>
  </si>
  <si>
    <t>TEJIDO SOCIAL</t>
  </si>
  <si>
    <t>Fomentar acciones de autocuidado en la poblacion del municipio de la Palma y Yacopi en el marco de la atencion primaria en salud</t>
  </si>
  <si>
    <t xml:space="preserve"> DIMENSIÓN DE VIDA SALUDABLE Y CONDICIONES NO TRANSMISIBLES</t>
  </si>
  <si>
    <t>% población de primera infancia, niñez y adolescencia</t>
  </si>
  <si>
    <t># niños con caries/# total niños atendidos * 100</t>
  </si>
  <si>
    <t>% población de primera infancia, niñez</t>
  </si>
  <si>
    <t># población con caries /total de población atendida primera infancia, niñez  atendidos durante la vigencia</t>
  </si>
  <si>
    <t>Número</t>
  </si>
  <si>
    <t>Odontologas Hospital la plama y Centro de slaud Yacopi.</t>
  </si>
  <si>
    <t>odontologia@esehospital-lapalma.gov.co</t>
  </si>
  <si>
    <t xml:space="preserve">No se tiene </t>
  </si>
  <si>
    <t>Mejorar la calidad con sentido de humanizacion  de la prestacion de los servicios de salud en la ESE San Jose de la Palma</t>
  </si>
  <si>
    <t>Aumentar al  1% la canalización efectiva de pacientes  hipertensos al programa.</t>
  </si>
  <si>
    <t>Control Hipertensión arterial</t>
  </si>
  <si>
    <t>Numero de pacientes con cifras tensionales inferiores a 140/90 mm Hg en el último trimestre/ Número de pacientes con diagnóstico de hipertensión arterial reportados.</t>
  </si>
  <si>
    <t>Aumentar   al  2% el tamizaje de para hipertensión arterial  en población mayor de 18 años.</t>
  </si>
  <si>
    <t>% de pacientes mayores de 18 años con tamizaje para hipertensión arterial.</t>
  </si>
  <si>
    <t>Número de población mayor de 18 años con tamizaje para HTA / Número total de población mayor de 18 años a cargo de la IPS *100</t>
  </si>
  <si>
    <t>Enfermera coordinadora APS - Enfermero coordinador PIC</t>
  </si>
  <si>
    <t xml:space="preserve"> enfermeria@esehospital-lapalma.gov.co </t>
  </si>
  <si>
    <t>% de pacientes mayores de 18 años diagnosticados con hipertensión arterial que ingresan al programa.</t>
  </si>
  <si>
    <t>Número de población mayor de 18 años con diagnóstico de HTA que ingresó al programa / Número total de población mayor de 18 años tamizado para  diagnóstico de de HTA *100</t>
  </si>
  <si>
    <t>Aplicación de guia de HTA</t>
  </si>
  <si>
    <t>Número de H. C que hacen parte de la muestra representativa con aplicación estricta de la Guía de Atención de Enfermedad Hipertensiva adoptada por la ESE  en la vigencia objeto de evaluación / Total H.C auditadas de la muestra representativa de pacientes con Diagnóstico de Hipertensión Arterial atendidos en la ESE en la vigencia objeto de evaluación. * 100%</t>
  </si>
  <si>
    <t xml:space="preserve">Aumentar el control de hipertensión arterial en un 1% </t>
  </si>
  <si>
    <t>Numero de pacientes con cifras tensionales inferiores a 140/90 mm Hg en el ultimo trimestre/ numero de pacientes con diagnóstico de hipertensión arterial reportados.</t>
  </si>
  <si>
    <t>porcentaje</t>
  </si>
  <si>
    <t>Aumentar  a 5 % la canalización efectiva de pacientes diabéticos al programa.</t>
  </si>
  <si>
    <t>% de pacientes entre 18 y 69 años diagnosticados con diabetes que ingresan al programa.</t>
  </si>
  <si>
    <t>Número de población entre 18 y 69 años con diagnóstico de diabetes que ingresó al programa / Número total de población ntre 18 y 69 años con diagnóstico de diabetes *100</t>
  </si>
  <si>
    <t>Aumentar en  1% el tamizaje para diabetes en personas de 18 a 69 años respecto a la línea de base establecida en la entidad para la vigencia 2017.</t>
  </si>
  <si>
    <t xml:space="preserve">Tamizaje de Diabetes Mellitus de personas de 18 a 69 años
</t>
  </si>
  <si>
    <t>Número de pacientes entre 18 y 69 años con tamizaje 
de
Diabetes Mellitus reportado/Número total de población entre 18 y 69 años a cargo de la IPS *100</t>
  </si>
  <si>
    <t>No se tenia</t>
  </si>
  <si>
    <t>enfermeria@esehospital-lapalma.gov.co</t>
  </si>
  <si>
    <t>Aumentar al  1% la canalización efectiva de pacientes diabéticos al programa.</t>
  </si>
  <si>
    <t>Control diabetes mellitus</t>
  </si>
  <si>
    <t>Numero de pacientes con diagnóstico de diabetes mellitus con hemoglobina glicosilada menor a 7% en los últimos 6 meses/total de pacientes con diagnóstico de diabetes mellitus reportados</t>
  </si>
  <si>
    <t>Aplicación de guia de DM2</t>
  </si>
  <si>
    <t>Número de H. C que hacen parte de la muestra representativa con aplicación estricta de la Guía de Diabetes  / Total H.C auditadas de la muestra representativa de pacientes con Diagnóstico de Hipertensión Arterial atendidos en la ESE en la vigencia objeto de evaluación. * 100%</t>
  </si>
  <si>
    <t>&gt;90%</t>
  </si>
  <si>
    <t>Proporción de mujeres entre 50 y 69 años con mamografía.</t>
  </si>
  <si>
    <t>Número de mujeres de 50 a 69 años que cuentan con mamografía en los últimos 2 años/total de mujeres entre 50 y 69 años asignadas a la IPS</t>
  </si>
  <si>
    <t>Sin dato</t>
  </si>
  <si>
    <t>Aumentar en 7% la prorporción de mujeres entre 25 y 69 años con toma de citología en el último año.</t>
  </si>
  <si>
    <t>Proporción de mujeres entre 25 y 69 con toma de citología.</t>
  </si>
  <si>
    <t>Número de mujeres entre 25 y 69 años que se han tomado la citología en el periodo definido/total de mujeres entre 25 y 69 años asiganads a la IPS</t>
  </si>
  <si>
    <t>Disminuir la proporcion de muestras de citologia cervicouterina insatisfechas  en 1%</t>
  </si>
  <si>
    <t xml:space="preserve">Número de muestras para citologias insatisfechas o rechazadas / # total  citologias tomadas </t>
  </si>
  <si>
    <t>Examenes de antígeno prostático.</t>
  </si>
  <si>
    <t>No. Examenes de antígeno prostático  tomados/Total de hombres mayores de 50 años a cargo de la IPS</t>
  </si>
  <si>
    <t>5). Mantener en 0 la mortalidad evitable por y asociada a desnutrición en menores de 5 años</t>
  </si>
  <si>
    <t>Mortalidad por o asociada a desnutrición</t>
  </si>
  <si>
    <t># casos de defunciones asociadas a desnutrición en menores de 5 años</t>
  </si>
  <si>
    <t>Casos</t>
  </si>
  <si>
    <t>Bajo peso al nacer</t>
  </si>
  <si>
    <t>No de nacidos vivos con peso menor a 2500 gr al nacer/No. Total de nacidos vivos</t>
  </si>
  <si>
    <t>&lt;5%</t>
  </si>
  <si>
    <t>Nutricionista - Enfermera Jefe</t>
  </si>
  <si>
    <t>sandraussacorrea@gmail.com - enfermeria@esehospital-lapalma.gov.co</t>
  </si>
  <si>
    <t>Duración media lactancia materna</t>
  </si>
  <si>
    <t>Duración en meses de la latancia materna exclusiva</t>
  </si>
  <si>
    <t>Meses</t>
  </si>
  <si>
    <t>Sin linea base</t>
  </si>
  <si>
    <t>TEJIDO SOCIAL.
COMPETITIVIDAD SOSTENIBLE.</t>
  </si>
  <si>
    <t>DIMENSIÓN SEGURIDAD ALIMENTARIA Y NUTRICIONAL</t>
  </si>
  <si>
    <t>Mortalidad materna</t>
  </si>
  <si>
    <t># casos de mortalidad materna</t>
  </si>
  <si>
    <t>% gestantes captadas antes de la semana 12</t>
  </si>
  <si>
    <t>No. De gestantes captadas antes de la semana 12 / No. De gestantes captadas.</t>
  </si>
  <si>
    <t>Coordinadora Médica.  Dra. Lina Maria Melo</t>
  </si>
  <si>
    <t xml:space="preserve">coordinacionmedica@esehospital-lapalma.gov.co </t>
  </si>
  <si>
    <t xml:space="preserve">Aumentar en 3%  las mujeres
gestantes que tienen 4 o
más controles prenatales
</t>
  </si>
  <si>
    <t xml:space="preserve">Mujeres con mas de 4 controles prenatales (Tener en cuenta en el kardex la edad gestacional y mínimo un control por trimestre)
</t>
  </si>
  <si>
    <t>Coordinacion IAMI</t>
  </si>
  <si>
    <t>DIMENSIÓN SEXUALIDAD, DERECHOS SEXUALES Y REPRODUCTIVOS</t>
  </si>
  <si>
    <t xml:space="preserve">Proporcion de adolescentes </t>
  </si>
  <si>
    <t>No. De mujeres embarazadas de 10 a 19 años/No. Total de mujeres  de 10 a 19 años a cargo de la ESE*100%</t>
  </si>
  <si>
    <t>Proporción de mujeres de 15 a 49 que utilizan métodos  de anticoncepción</t>
  </si>
  <si>
    <t>No. Mujeres de 15 a 49 años que utilizan métodos  de anticoncepción/No. Total de mujeres de 15 a 49 años a cargo de la ESE *100%</t>
  </si>
  <si>
    <t xml:space="preserve">Enfermera coordinadora APS - Enfermero coordinador PIC.  </t>
  </si>
  <si>
    <t>% de mujeres embarazadas de 10 a 19 años</t>
  </si>
  <si>
    <t>TEJIDO SOCIAL
INTEGRACIÓN Y GOBERNANZA</t>
  </si>
  <si>
    <t>DIMENSIÓN VIDA SALUDABLE Y ENFERMEDADES TRANSMISIBLES</t>
  </si>
  <si>
    <t>Mortalidad por mycrobacterias</t>
  </si>
  <si>
    <t># muertes con diagnostico de tiberculosiss</t>
  </si>
  <si>
    <t>Identificar y realizar el tratamiento oportuno a los pacientes con TBC.</t>
  </si>
  <si>
    <t>Coordinadora Enfermeria- Jefe Maria Dina Zipaquira</t>
  </si>
  <si>
    <t>Mortalidad infantil</t>
  </si>
  <si>
    <t>Número muertes en menores de un año institucional</t>
  </si>
  <si>
    <t>Proporción de reingreso de pacientes menores de 5 años con diagnóstico de IRA.</t>
  </si>
  <si>
    <t>Número de hospitalizaciones por IRA de menores de 5 años dentro de los 20 días después del primer egreso por la misma causa / Número total de egresos de menores de 5 años con hospitalización por IRA.</t>
  </si>
  <si>
    <t>Proporción</t>
  </si>
  <si>
    <t>No. De auditorías</t>
  </si>
  <si>
    <t>Cobertura de detección de alteraciones.</t>
  </si>
  <si>
    <t>No. De niños y niñas menores de 10 años atendidos en detección de alteraciones  / No. Total de niños y niñas menores de 10 años a cargo e la ESE.</t>
  </si>
  <si>
    <t>% emergencias y desastres atendidos</t>
  </si>
  <si>
    <t># atenciones en salud en emergencias y desatsres/# total de emergencias y desastres presentados * 100</t>
  </si>
  <si>
    <t>Plan de emergencias hospitalario actualizado</t>
  </si>
  <si>
    <t>Documento actualizado.</t>
  </si>
  <si>
    <t>Líder programa:  Dr. Rafael Eduardo Cortes</t>
  </si>
  <si>
    <t>COMPETITIVIDAD SOSTENIBLE</t>
  </si>
  <si>
    <t>DIMENSIÓN SALUD Y ÁMBITO LABORAL</t>
  </si>
  <si>
    <t>SIVISALA implementado</t>
  </si>
  <si>
    <t>% de implementación</t>
  </si>
  <si>
    <t>Reportes al SIVISALA</t>
  </si>
  <si>
    <t>Numero de Reportes entregados / Número de Reportes Programados * 100</t>
  </si>
  <si>
    <t>DIMENSIÓN TRANSVERSAL GESTIÓN DIFERENCIAL DE POBLACIONES VULNERABLES</t>
  </si>
  <si>
    <t>Mortalidad en menores de 5 años</t>
  </si>
  <si>
    <t># muertes en menores de un  5 años</t>
  </si>
  <si>
    <t>Cobertura de vacunación</t>
  </si>
  <si>
    <t xml:space="preserve">Prestar servicios de salud que satisfagan de manera óptima las necesidades y expectativas de la población en relación con la promoción, el fomento y la conservación de la salud y la prevención, tratamiento y rehabilitación de la enfermedad.  </t>
  </si>
  <si>
    <t>Aumentar en 2% el tamizaje de agudeza visual en la infancia</t>
  </si>
  <si>
    <t>Porcentaje de niños y niñas con tamizaje agudeza visual</t>
  </si>
  <si>
    <t>TEJIDO SOCIAL.
INTEGRACIÓN Y GOBERNANZA</t>
  </si>
  <si>
    <t>DIMENSIÓN FORTALECIMIENTO DE LA AUTORIDAD SANITARIA PARA LA GESTIÓN EN SALUD</t>
  </si>
  <si>
    <t>% de cumplimiento del plan de acción de humanización</t>
  </si>
  <si>
    <t>Oficina SIAU.  Sr. Pedro Calvo</t>
  </si>
  <si>
    <t>% cumplimiento SOGC</t>
  </si>
  <si>
    <t>% avance de cada componente del SOGC</t>
  </si>
  <si>
    <t>% de cumplimiento plan de sostenibilidad del SUH</t>
  </si>
  <si>
    <t># actividades cumplidas/# actividades propuestas. *100</t>
  </si>
  <si>
    <t>Aumentar en XX% el cumplimiento del Sistema Obligatorio de Garantía de la Calidad en sus tres componentes.</t>
  </si>
  <si>
    <t>xx</t>
  </si>
  <si>
    <t xml:space="preserve">Mantener por encima del 90%  el programa de auditoría para el mejoramiento de la calidad. </t>
  </si>
  <si>
    <t>% de cumplimiento del PAMEC</t>
  </si>
  <si>
    <t># acciones implementadas/# total de acciones propuestas *100</t>
  </si>
  <si>
    <t>Realizar seguimiento en comité directivo al 100% de los indicadores  del sistema de información para la calidad.</t>
  </si>
  <si>
    <t>Mantener por encima del 95%  la satisfacción global de los usuarios de la IPS</t>
  </si>
  <si>
    <t>Satisfacción global de los usuarios</t>
  </si>
  <si>
    <t>No de usuarios que respondieron "muy buena" o "buena" a la pregunta ¿cómo calificaría su experiencia global de atención en los servicios de salud de de su IPS?/No de usuarios que respondieron la pregunta.</t>
  </si>
  <si>
    <t xml:space="preserve">Implementar el programa de seguridad del paciente fortaleciendo el reporte y gestión de eventos adversos </t>
  </si>
  <si>
    <t>Programa de seguridad del paciente implementado</t>
  </si>
  <si>
    <t>Realizar el 100% los reportes asistenciales del SIUS</t>
  </si>
  <si>
    <t xml:space="preserve"> # folios enviados al SIUS/# de folios asistenciales realizados </t>
  </si>
  <si>
    <t>No se reportaba</t>
  </si>
  <si>
    <t>Reportes SIUS administrativos)</t>
  </si>
  <si>
    <t>Número de reportes financieros realizados</t>
  </si>
  <si>
    <t>Implementar en el 50% el plan de acción de la política pública del manejo de la información en el sector salud de Cundinamarca, como herramienta de soporte en la toma de decisiones inteligentes e informadas.</t>
  </si>
  <si>
    <t xml:space="preserve"> Implemetación del Plan de acción de la política del manejo de la información</t>
  </si>
  <si>
    <t>Numero de actividades realizadas / numero de poblacion beneficiada * 100</t>
  </si>
  <si>
    <t>Realizar el reporte y seguimiento del 100% de los casos de desnutricion aguda en menores 5 años al sistema de vigilancia alimentario y nutricional para la Gobernación de Cundinamarca - MANGO.</t>
  </si>
  <si>
    <t>Reportes realizados</t>
  </si>
  <si>
    <t>No. de casos reportados de desnutricion aguda en menores 5 años/No. de casos identificados con desnutricion aguda en menores 5 años * 100%</t>
  </si>
  <si>
    <t>Nutricionista. Dra. Sandra Ussa</t>
  </si>
  <si>
    <t>% de cumplimiento del convenio de APS </t>
  </si>
  <si>
    <t># de actividades cumplidas para la vigencias/# total de actividades programadas</t>
  </si>
  <si>
    <t>&gt;95%</t>
  </si>
  <si>
    <t>Realizar el reporte del 100% de los eventos en salud mental (diferentes tipologias de violencia, consumo de sustancias psicoactivas, conducta suicida)  identificados.</t>
  </si>
  <si>
    <t>% eventos reportados</t>
  </si>
  <si>
    <t># eventos reportados/#total de eventos identificados.</t>
  </si>
  <si>
    <t>Coord. Médica    Coord. VSP    Enf Sergio Ruíz</t>
  </si>
  <si>
    <t>coordinacionmedica@esehospital-lapalma.gov.co    -   epidemiologia@esehospital-lapalma.gov.co   -   enfsergioruiz@gmail.com</t>
  </si>
  <si>
    <t xml:space="preserve">Implementar al 100% la Estrategia de gestión integrada para la vigilancia, promoción de la salud, prevención y control de
las ETV y Zoonosis.
</t>
  </si>
  <si>
    <t>Estrategia de gestión integrada para la vigilancia, promoción de la salud publica y zoonosis</t>
  </si>
  <si>
    <t>Notificacion  de casos entregados oportunamente/ Total de casos identificados</t>
  </si>
  <si>
    <t>Implementación de  los mecanismos de participación social</t>
  </si>
  <si>
    <t># mecanismos implementados /Total de mecanismos de obligatoria implementación *100</t>
  </si>
  <si>
    <t>Sostenibilidad financiera</t>
  </si>
  <si>
    <t># de acciones  realizadas para el cumplimiento de la sostenibilidad financiera/ # de acciones proyectadas * 100</t>
  </si>
  <si>
    <t>% de recuperación</t>
  </si>
  <si>
    <t xml:space="preserve">Valor del recuado de cuentas por cobrar presupuestales / Total cuentas por cobrar proyectadas en el presupuesto </t>
  </si>
  <si>
    <t xml:space="preserve">Estructurar e implementar el sistema de costos en la organización </t>
  </si>
  <si>
    <t>%  de cumplimiento de la implemetación del sistema de costos</t>
  </si>
  <si>
    <t>numero de actividades cumplidas/ numero de actividades programadas*100%</t>
  </si>
  <si>
    <t>Dar cumplimiento a los planes de accion de MIPG</t>
  </si>
  <si>
    <t>Planes de acción</t>
  </si>
  <si>
    <t>Planes de accion ejecutados / Plan de accion programados*100%</t>
  </si>
  <si>
    <t>Ejecutar el plan Institucional de Archivos de la Entidad ­PINAR</t>
  </si>
  <si>
    <t>% de implementación institucional de archivo PINAR</t>
  </si>
  <si>
    <t>N° acciones ejecutadas / numero de acciones programadas</t>
  </si>
  <si>
    <t>Subgerencia Administrativa</t>
  </si>
  <si>
    <r>
      <t xml:space="preserve">Mantener por encima del   </t>
    </r>
    <r>
      <rPr>
        <sz val="10"/>
        <color rgb="FF0070C0"/>
        <rFont val="Calibri"/>
        <family val="2"/>
        <scheme val="minor"/>
      </rPr>
      <t>90%</t>
    </r>
    <r>
      <rPr>
        <sz val="10"/>
        <rFont val="Calibri"/>
        <family val="2"/>
        <scheme val="minor"/>
      </rPr>
      <t xml:space="preserve"> el plan anual de Adquisiciones</t>
    </r>
  </si>
  <si>
    <t>Plan de adquisiciones</t>
  </si>
  <si>
    <t xml:space="preserve">Ejecutar plan de accion de Vacantes </t>
  </si>
  <si>
    <t>Plan de accion</t>
  </si>
  <si>
    <t>Actividades Ejecutadas/Actividades Programadas*100</t>
  </si>
  <si>
    <t>%</t>
  </si>
  <si>
    <t xml:space="preserve"> Ejecutar plan de accion  de Previsión de Recursos Humanos </t>
  </si>
  <si>
    <t>Plan anual de prevision de recurso humano</t>
  </si>
  <si>
    <t>Ejecutar un plan Estrategico de Talento Humano en un 90%</t>
  </si>
  <si>
    <t>% de cumplimiento del plan de previson  de recursos humanos</t>
  </si>
  <si>
    <t xml:space="preserve"> Actividades realizadas/actividades programadas * 100%</t>
  </si>
  <si>
    <r>
      <t xml:space="preserve">Ejecutar plan de accion de capacitaciones institucional en un </t>
    </r>
    <r>
      <rPr>
        <sz val="10"/>
        <color rgb="FF0070C0"/>
        <rFont val="Calibri"/>
        <family val="2"/>
        <scheme val="minor"/>
      </rPr>
      <t>90%</t>
    </r>
  </si>
  <si>
    <t>% de cumplimiento del plan de capacitacion</t>
  </si>
  <si>
    <t>Capacitaciones ejecutadas/ capacitaciones programadas *100%</t>
  </si>
  <si>
    <t>Ejecutar plan de accion  de Incentivos Institucional</t>
  </si>
  <si>
    <t>Ejecución de plan de incentivos</t>
  </si>
  <si>
    <t>Ejecutar  Plan de Trabajo Anual en Seguridad y Salud en el Trabajo</t>
  </si>
  <si>
    <t>Imlementacion del plan anual de trabajo de SG SST</t>
  </si>
  <si>
    <t>Ejecutar al 100% el plan anticorrupción en la E.S.E Hospital San Jose de la Palma</t>
  </si>
  <si>
    <t>Plan Anticorrupción y de Atención al Ciudadano implementado</t>
  </si>
  <si>
    <t>Numero de actividades ejecutadas / Numero de actividades programadas*100%</t>
  </si>
  <si>
    <t>Ejecutar  Plan Estratégico de Tecnologías de la Información y las Comunicaciones ­ PETI</t>
  </si>
  <si>
    <t>Plan Estratégico de Tecnologías de la Información y las Comunicaciones ­ PETIC</t>
  </si>
  <si>
    <t># actividades desarrolladas/# actividades propuestas*100%</t>
  </si>
  <si>
    <t>Ejecutar plan de Tratamiento de Riesgos de Seguridad y Privacidad de la Información</t>
  </si>
  <si>
    <t>Plan de Tratamiento de Riesgos de Seguridad y Privacidad de la Información</t>
  </si>
  <si>
    <t># actividades desarrolladas/# actividades propuestas.</t>
  </si>
  <si>
    <t>Ejecutar  Plan de Seguridad y Privacidad de la Información</t>
  </si>
  <si>
    <t>Plan de Seguridad y Privacidad de la Información</t>
  </si>
  <si>
    <t>&lt;4,5%</t>
  </si>
  <si>
    <t xml:space="preserve">                sandraussacorrea@gmail.com</t>
  </si>
  <si>
    <t xml:space="preserve">Realizar los reportes financieros del SIUS: Número de reportes financieros (mínimo 18 en el TRIMESTRE) </t>
  </si>
  <si>
    <t>coordinacioniamihlapalma@gmail.com</t>
  </si>
  <si>
    <t>&lt;0,01</t>
  </si>
  <si>
    <t>Número de H. C que hacen parte de la muestra representativa con aplicación estricta de la Guía de Crecimiento y Desarrollo adoptada por la ESE  en la vigencia objeto de evaluación / Total H.C auditadas de la muestra representativa de pacientes con Diagnóstico Crecimiento y Desarrollo atendidos en la ESE en la vigencia objeto de evaluación. * 100%</t>
  </si>
  <si>
    <t>cortes.ussa@gmail.com</t>
  </si>
  <si>
    <t>Mantener el 100% de recien nacidos con tamizaje para hipotiroidismo</t>
  </si>
  <si>
    <t>Porcentaje de recien nacidos con TSH</t>
  </si>
  <si>
    <t>No de nacidos vivos a los cuales se les realiza tamizaje para hipotiroidismo / No total de recien nacidos vivos reportados</t>
  </si>
  <si>
    <t>calidad@esehospital-lapalma.gov.co</t>
  </si>
  <si>
    <t>Equipo de Calidad</t>
  </si>
  <si>
    <t>subgerencia@esehospital-lapalma.gov.co</t>
  </si>
  <si>
    <t>Referente de seguridad del paciente</t>
  </si>
  <si>
    <t>siauhospitallapalma@gmail.com</t>
  </si>
  <si>
    <t>Jefes APS - PIC</t>
  </si>
  <si>
    <t>enfermeria@esehospital-lapalma.gov.c</t>
  </si>
  <si>
    <t>Cartera</t>
  </si>
  <si>
    <t>cartera@esehospital-lapalma.gov.co</t>
  </si>
  <si>
    <t xml:space="preserve">Mantener por encima  del 80% la recuperación de cartera presupuestal </t>
  </si>
  <si>
    <t>Lider costos</t>
  </si>
  <si>
    <t>subgerencia@hospital-lapalma.gov.co</t>
  </si>
  <si>
    <t>Implementar al 100%,  los modelos de prevencion y detección temprana para los canceres en la ESE.</t>
  </si>
  <si>
    <t>Mantener en 0 la mortalidad evitable por y asociada a desnutrición en menores de 5 años</t>
  </si>
  <si>
    <r>
      <t xml:space="preserve">Mantener en 0 la </t>
    </r>
    <r>
      <rPr>
        <sz val="10"/>
        <color indexed="8"/>
        <rFont val="Calibri"/>
        <family val="2"/>
        <scheme val="minor"/>
      </rPr>
      <t>mortalidad materna enla ESE San Jose de la Palma</t>
    </r>
  </si>
  <si>
    <t>Disminuir  la proporción de adolescentes alguna vez madres o actualmente embarazadas entre los 10 y 19 años.</t>
  </si>
  <si>
    <r>
      <t>Mantener en 0 la m</t>
    </r>
    <r>
      <rPr>
        <sz val="10"/>
        <color indexed="8"/>
        <rFont val="Calibri"/>
        <family val="2"/>
        <scheme val="minor"/>
      </rPr>
      <t xml:space="preserve">ortalidad por mycobacterias </t>
    </r>
  </si>
  <si>
    <t>Responder en salud al 100% de las emergencias y desastre  en articulación con el municipios de La Palma y Yacopi</t>
  </si>
  <si>
    <t>Implementar el sistema de vigilancia en salud laboral - SIVISALA en sus tres componentes (Reporte Mensual / Notificación Inmediata / Acompañamiento a Caso)</t>
  </si>
  <si>
    <t>Mantener en 0 la mortalidad en menores de 5 años en la ESE</t>
  </si>
  <si>
    <t>sistemas@esehospital-lapalma.gov.co</t>
  </si>
  <si>
    <t>Lider de Ssitemas</t>
  </si>
  <si>
    <t>Reducir en 2 % la  caries en   la población de primera infancia, niñez y adolescencia  asignada a la ESE y centro</t>
  </si>
  <si>
    <t>Número de población mayor de 18 años con diagnóstico de HTA que ingresó al programa / Número total de población mayor de 18 años tamizado para  diagnóstico de  HTA *100</t>
  </si>
  <si>
    <t>% avance meta resultado</t>
  </si>
  <si>
    <t>LOGROS</t>
  </si>
  <si>
    <t>DIFICULTADES</t>
  </si>
  <si>
    <t>Programado  Año 4  2020</t>
  </si>
  <si>
    <t>N.A</t>
  </si>
  <si>
    <t xml:space="preserve">Aumentar consulta  de PyD - Atención del joven en la ESE (10 a 29 años). </t>
  </si>
  <si>
    <t>Aumentar consulta  de PyD - Atención del joven en la ESE (10 a 29 años).</t>
  </si>
  <si>
    <t xml:space="preserve">No.  De jovenes atendidos en consulta de atención del joven  / Poblacion Joven  asignada ESE (10 a 29 años) *100% </t>
  </si>
  <si>
    <t xml:space="preserve">
Ejecutar el plan de acción de la estrategia hospital verde  </t>
  </si>
  <si>
    <t>Aumentar en 4% el  numero de pacientes con detartraje supragingival en adultos</t>
  </si>
  <si>
    <t xml:space="preserve">Mantener  por encima del 91% la Evaluación de aplicación de guía de manejo específica: guía de atención de enfermedad hipertensiva                          </t>
  </si>
  <si>
    <t>&gt;91%</t>
  </si>
  <si>
    <t>Aumentar el control de pacientes con diabetes  a partir de la línea base en un 1% anual</t>
  </si>
  <si>
    <t>Proporcion de citologias con muestras insatisfechas o rechazadas</t>
  </si>
  <si>
    <t>Aumentar en 5% la  detección de cáncer de próstata, con  antígeno prostático, en hombres mayores de 50 años.</t>
  </si>
  <si>
    <t>Mantener por debajo del 4,1% la proporción de nacidos con bajo peso al nacer (según línea base)</t>
  </si>
  <si>
    <t>&lt;4,1%</t>
  </si>
  <si>
    <t>Porcetaje de Pacientes diagnosticados y con tratamiento</t>
  </si>
  <si>
    <t># pacientes diagnosticados, con tratamiento    /  número total de  pacientes diagnosticados x 100</t>
  </si>
  <si>
    <t>Mantener en cero la Proporción de reingreso hospitalario por IRA, en menores de 5 años, durante el periodo.</t>
  </si>
  <si>
    <t>Lograr un 84% de  adherencia  de la Evaluación de aplicación de guía de manejo específica: guía de atención de Crecimiento y Desarrollo</t>
  </si>
  <si>
    <t xml:space="preserve">Actualizar plan de emergencias hospitalario de la ESE </t>
  </si>
  <si>
    <t>Reportar mensualmente al Sistema de Vigilancia en Salud Laboral el 100% de los eventos de origen laboral de acuerdo al Lineamiento.</t>
  </si>
  <si>
    <t>Alcanzar el 95%  de cobertura en todos los biológicos que hacen parte del esquema nacional, en poblaciones objeto del programa.</t>
  </si>
  <si>
    <t>Coberturas de vacunación con  DPT 3 dosis, polio 3 dosis, triple viral &lt; 1 año y triple viral &lt; 5 años.</t>
  </si>
  <si>
    <t>No de niños y niñas en etapa de (infancia) atendidos en la ESE y CEntro a quienes se realizo  tamizaje  de agudeza visual / Total de niños y niñas en etapa de infancia a cargo de la IPS</t>
  </si>
  <si>
    <t>Implementar al 90%  el plan de acciòn  de humanización de la ESE</t>
  </si>
  <si>
    <t>No. Actividades del plan de acción de humanización cumplidas/No. De actividades propuestas en el plan  de accion</t>
  </si>
  <si>
    <t xml:space="preserve">Cumplir  en  un 85%  las Actividades programadas en el plan de mantenimiento del SUH  </t>
  </si>
  <si>
    <t>% de  comités realizados para seguimiento de indicadores del Sistema de Información para la calidad</t>
  </si>
  <si>
    <t># comités  realizados para analisis de indicadores/# total de comités programados para analisis de indicadores * 100</t>
  </si>
  <si>
    <t>Número de actividades cumplidas/ Número de actividades programadas* 100%</t>
  </si>
  <si>
    <t>Reportes SIUS assitenciales</t>
  </si>
  <si>
    <t>Mecanismos de participacion social activos</t>
  </si>
  <si>
    <t xml:space="preserve">Mecanismos de participacion social activos en la ESE </t>
  </si>
  <si>
    <t>Valor ejecutado en el plan de adquisiciones / Valor programado del plan de adquisiciones*100</t>
  </si>
  <si>
    <t>Actividades Ejecutadas/Actividades Programadas *100</t>
  </si>
  <si>
    <t>Actividades realizadas/actividades programadas * 100</t>
  </si>
  <si>
    <t xml:space="preserve"> Implementar en un 85% la estrategia hospital verde</t>
  </si>
  <si>
    <t>Reducir en 9 % la  caries en   la población de primera infancia, niñez y adolescencia  asignada a la ESE y centro</t>
  </si>
  <si>
    <t>#  pacientes atendidos y diagnosticados   con caries / Total de pacientes  de primera infancia, niñez y adolescencia atendidos durante la vigencia en consulta en la ESE y sede adscrita</t>
  </si>
  <si>
    <t xml:space="preserve">Incrementar  al 9 % la poblacion mayor de 18 años con detartraje supragingival  </t>
  </si>
  <si>
    <t xml:space="preserve">Aumentar en 4%  el control de pacientes con diabetes  </t>
  </si>
  <si>
    <t>Modelos de canceres implementados</t>
  </si>
  <si>
    <t># de metas de cánceres cumplidas / Total de metas de cancer programadas  (Teniendo en cuenta cumplimiento de meta programada por vigencia)</t>
  </si>
  <si>
    <t>Realizar estudio de oferta y demanda para verificar implementación de  la consulta de optometria en la ESE</t>
  </si>
  <si>
    <t xml:space="preserve">Estudio de oferta y demanda </t>
  </si>
  <si>
    <t>Estudio de oferta y demanda realizada para validar implementación de servicio de optometria</t>
  </si>
  <si>
    <t>No. de niños y niñas en etapa de (infancia) atendidos en la ESE y CEntro a quienes se realizo  tamizaje  de agudeza visual / Total de niños y niñas en etapa de infancia a cargo de la IPS</t>
  </si>
  <si>
    <t>Mantener por encima del 90% el cumplimiento del Sistema Obligatorio de Garantía de la Calidad en sus tres componentes.</t>
  </si>
  <si>
    <t>Metas  de la política del manejo de la información pública desarrolladas</t>
  </si>
  <si>
    <t>Número de metas de producto cumplidas / Número de metas de producto programadas * 100</t>
  </si>
  <si>
    <t>Implementar al 100% los mecanismos de participación social en la ESE.</t>
  </si>
  <si>
    <t>Coordinar actividades con demas entes municipales por tiempos y actividades de cada institucion.</t>
  </si>
  <si>
    <t>Disminucion de caries en poblacion objetivo debido a la cantidad de brigadas realizadas en las difernetes instituciones educativas, forrtaleciendo en componente de educacion</t>
  </si>
  <si>
    <t>Vacunación de menores en sitios aledaños al municipio como puerto salgar, Dorada y puerto Boyacá.</t>
  </si>
  <si>
    <t>Ya se realzio compensacion de huella de carbono con siembra de árboles.                                     Se cuenta con  personal  idoneo  para manejar la estrategia de hospital verde</t>
  </si>
  <si>
    <t>Poca afluencia de poblacion primera infancia niñez y adolecencia a consulta de control de odontologia, por lo cual toca salir a captar poblacion en institucion educativa y demas con estrategias extramural.</t>
  </si>
  <si>
    <t>Falta de cultura del cuidado en la salud oral por parte de las personas mayores. 
Poca asistencia de poblacion mayor para control de odontologia.             Falta de espacios para realizar la actividad.</t>
  </si>
  <si>
    <t>Se esta realziando un trabajo articulado con sede de Yacopi para revision y cumplimiento de metas de odontologia.</t>
  </si>
  <si>
    <t>1. Inasistencia de la comunidad a las actividades programadas por parte de los usuarios. 2. Baja accesibilidad a servicios de salud dado por condiciones geográficas y acceso limitado.                                        3. Zona rural dispersa generando no adherencia a asistencia a programa de crónicos</t>
  </si>
  <si>
    <t xml:space="preserve">Se cuenta con programa de crónicos que se viene fortaleciendo,  se realiza seguimiento a pacientes con cifras tensionales altas a traves de mapeos para confirmar diagnosticos HTA, se realiza mensualmente los clubs de crónicos en las dos sedes </t>
  </si>
  <si>
    <t>Se cuenta con programa de crónicos que se viene fortaleciendo,  se realiza mensulamente los clubs de crónicos en las dos sedes y se viene realizando la medición de adherencias a los programas por parte del personal médico.     Se cuenta con base de datos de crónicos y se viene depurando.</t>
  </si>
  <si>
    <t xml:space="preserve">Se cuenta con programa de crónicos que se viene fortaleciendo,  se realiza seguimiento a pacientes con cifras elevadas de glicemias   para confirmar diagnosticos DM, se realiza mensualmente los clubs de crónicos en las dos sedes </t>
  </si>
  <si>
    <t>1. Inasistencia de la comunidad a las actividades programadas por parte de los usuarios. 2. Baja accesibilidad a servicios de salud dado por condiciones geográficas y acceso limitado.                                        3. Zona rural dispersa generando no adherencia a asistencia a programa de crónicos 4. Falta de ordenes de los profesionales a pacintes con Dx de DM para toma de Hemoglobina Glicosilada</t>
  </si>
  <si>
    <t>Numero de pacientes con diagnóstico de diabetes mellitus con hemoglobina glicosilada menor a 7% en los últimos 6 meses / Total de pacientes con diagnóstico de diabetes mellitus reportados</t>
  </si>
  <si>
    <t>Se cuenta con programa de crónicos que se viene fortaleciendo,  se realiza mensualmente los clubs de crónicos en las dos sedes y se viene realizando la medición de adherencias a los programas por parte del personal médico.     Se cuenta con base de datos de crónicos y se viene depurando.</t>
  </si>
  <si>
    <t>El seguimiento a mujeres con ordenes de mamografia ya que las EPS no les autorizan los servicios demandados o los autorizan a lejanos</t>
  </si>
  <si>
    <t>Se cuenta con estrategia Gebis por medio de PIC - APS para lograr la canalizacion efectiva de la poblacion a los diferentes programas de PyD.</t>
  </si>
  <si>
    <t>Los costos de desplazamiento de la poblacion  a los centros y sitios de atención lo que hace que no haya cumplimiento en cada una de las zonas.</t>
  </si>
  <si>
    <t>1. Se cuenta con programa MAMII fortalecido en la atención a gestantes                       2.  No se tienen barreras de acceso para el ingreso y atencion a gestantes en programas de pyd.</t>
  </si>
  <si>
    <t>Aumento de maternas con alto riesgo por varios factores incluyendo corta edad, mujeres de zona rural que no viene desde las primeras semanas de gestación.</t>
  </si>
  <si>
    <t xml:space="preserve">Altos embarazos de adolescentes por temas culturales, ocultamiento de embarazos en poblacion joven y no capatacion oportuna de gestantes </t>
  </si>
  <si>
    <t>Mantener la estregia extramural por parte del programa PIC y APS que ha fortalecio los resultados</t>
  </si>
  <si>
    <t>No se han presentado muerte, se han identificado e iniciado a tiempo los tratamientos a pacientes con TBC</t>
  </si>
  <si>
    <t>La ubicación de algunos pacientes en zonas rurales que no les permite el facil desplazamiento al centro de atención</t>
  </si>
  <si>
    <t xml:space="preserve"> Disminuir a 0 la mortalidad en menores de 1 año, en coordinación con los otros sectores de las adminsitraciones municipales de la Palma y Yacopi</t>
  </si>
  <si>
    <t>Capacitar el 100% de la poblacion, dificicil acceso de a poblaciones apartadas y vulnerables del municipio donde se tiene bajo nivel de adherencia y asistencia al centro de atención</t>
  </si>
  <si>
    <t>No se han presentado casos de mortaldiad en menores 1 año</t>
  </si>
  <si>
    <t>Se esta realizando la obra en Yacopi por lo cual no se ha realizado actualización del plan de emergencias del centro de salud.</t>
  </si>
  <si>
    <t>Cumplimiento al 100% de informes y capacitacion al personal</t>
  </si>
  <si>
    <t>No se presentaron</t>
  </si>
  <si>
    <t>Mantener mortalidad en cero de menores de 5 años. Cumplimiento en las jornadas, en los registros y fortalecimiento de estrategia extramural</t>
  </si>
  <si>
    <t>Rotación de personal, cambio del lider del programa  y nuevas capacitaciones de los ingresos</t>
  </si>
  <si>
    <t>Desarrollo del programa de humanizacion, capacitacion de cliente externo</t>
  </si>
  <si>
    <t>Fortalecimiento institucional de los progrmas de auditoria y mejoramiento continuo, capacitacion y apoyo en herramientas ofimaticas para inluir a todos los colaboradres en las capacitaciones de seguridad del paciente y pamec</t>
  </si>
  <si>
    <t>Algunas caracteristicas de la infraestructura que no cumplen en centro de salud de yacopi adherencia de los programas y desarrollo de actividadespor parte de personal asistencial</t>
  </si>
  <si>
    <t>Se trabajo en las diferentes actividades enfocadas al plan de información</t>
  </si>
  <si>
    <t>Realizar reportes cunado los aplicativos y plataformas fallan, y la falta de conocminiento del personal</t>
  </si>
  <si>
    <t xml:space="preserve">Se mantiene operativo el comité de etica y participación del representante ante la junta directiva de la E.S.E  </t>
  </si>
  <si>
    <t>• Poco interés de los usuarios para cooperar en estos espacios de participación ciudadana, no se ha logrado reunir a la asociacion de usuarios</t>
  </si>
  <si>
    <t>Se ha dado cumplimiento a los informes requeridos y el equipo de trabajo esta consolidado en trabajo altamente eficiente, carteras actualizadas</t>
  </si>
  <si>
    <t>Dificil recaudo de carteras vencidas citas muy lejanas de conciliacion</t>
  </si>
  <si>
    <t>Se tiene en ejecución los planes de accin institucionales y se estan desarrollando las actividades acorde a los cronogramas</t>
  </si>
  <si>
    <t>Falta de presupuesto para cumplimiento de planes como PINAR, previsión, vacantes</t>
  </si>
  <si>
    <t>Aumentar al  4% la canalización efectiva de pacientes  hipertensos al programa.</t>
  </si>
  <si>
    <t xml:space="preserve">Alcanzar el  85%  de la adherencia a guías para los programas de enfermedades crónicas  guía de atención de enfermedad Diabetes   Mellitus 2 (DM2)                      </t>
  </si>
  <si>
    <t>Aumentar en 4% la proporción de mujeres entre 50 y 69 años con orden de mamografía</t>
  </si>
  <si>
    <t>Aumentar en 0,5 meses la duración media de lactancia materna</t>
  </si>
  <si>
    <t>Aumentar en 8% la proporción de gestantes captadas antes de la semana 12 de gestación</t>
  </si>
  <si>
    <t>Cumplir al 100%  las metas  establecidas de la política pública del manejo de la información en el sector salud de Cundinamarca, ( Como herramienta de soporte en la toma de decisiones inteligentes e informadas.)</t>
  </si>
  <si>
    <t>Mantener por encima del 90% el cumplimienot de actividades de la gestion financiera  San José de la Palma.</t>
  </si>
  <si>
    <t>Se cuenta con plan de emergencias aprobado de la ESE, se presento la emeregencia en la vereda de murca en el mes de abril a la cual se respondio oportunamente.</t>
  </si>
  <si>
    <t>Ejecutado Año  2017</t>
  </si>
  <si>
    <t xml:space="preserve">Lograr un cumplimiento mayor al 90% del  convenio de APS 
</t>
  </si>
  <si>
    <t>Se ha capacacitado al personal para aumentar  la consulta de agudeza</t>
  </si>
  <si>
    <t>Falta de compromiso del personal</t>
  </si>
  <si>
    <t>No hay presupuesto para implementar la consulta de optometria, y no hay demanda para la consulta</t>
  </si>
  <si>
    <t>No se han presentado</t>
  </si>
  <si>
    <t>Mantener  activos los mecanismos de participación social en la ESE para articular con el municio</t>
  </si>
  <si>
    <r>
      <t xml:space="preserve">Fecha de Aprobación de la Junta Directiva: </t>
    </r>
    <r>
      <rPr>
        <sz val="11"/>
        <rFont val="Arial"/>
        <family val="2"/>
      </rPr>
      <t>6 de Febrero de 2019</t>
    </r>
  </si>
  <si>
    <t xml:space="preserve">OSCAR ALBERTO SANCHEZ MUÑOZ </t>
  </si>
  <si>
    <t>GERENTE</t>
  </si>
  <si>
    <t>Elaboro: Dayanni Preaciado</t>
  </si>
  <si>
    <t>Reviso: Luis Alberto Correa</t>
  </si>
  <si>
    <t>Aumentar en 4% el tamizaje de agudeza visual en la infancia</t>
  </si>
  <si>
    <t>Aumentar el control de hipertensión arterial en un 10% de la linea base</t>
  </si>
  <si>
    <t>Se esta cumplimiendo con metas para tomas de citologias y PSA.                                                         Se aumento la ordenes para toma de mamografias</t>
  </si>
  <si>
    <t>Programado Año  2017</t>
  </si>
  <si>
    <t>Programado Año   2018</t>
  </si>
  <si>
    <t>Ejecutado 
Año            2018</t>
  </si>
  <si>
    <t>Programado Año  2019</t>
  </si>
  <si>
    <t>Ejecutado  Año  2019</t>
  </si>
  <si>
    <t>Aumentar a 7% el uso de métodos
de anticoncepción en mujeres en edad fértil (15-
49 años)</t>
  </si>
  <si>
    <t>Disminuir el porcentaje  de adolescentes
embarazadas en 0,5%.</t>
  </si>
  <si>
    <t>Aumentar en 7% la cobertura para la detección de alteraciones de los niños y niñas menores de 10 años atendidos en la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</si>
</sst>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Arial"/>
      <family val="2"/>
    </font>
    <font>
      <sz val="9"/>
      <color theme="1"/>
      <name val="Calibri"/>
      <family val="2"/>
      <scheme val="minor"/>
    </font>
    <font>
      <sz val="11"/>
      <name val="Arial"/>
      <family val="2"/>
    </font>
    <font>
      <b/>
      <sz val="9"/>
      <name val="Arial"/>
      <family val="2"/>
    </font>
    <font>
      <b/>
      <sz val="14"/>
      <name val="Arial"/>
      <family val="2"/>
    </font>
    <font>
      <b/>
      <sz val="11"/>
      <name val="Calibri"/>
      <family val="2"/>
    </font>
    <font>
      <b/>
      <sz val="10"/>
      <color theme="1"/>
      <name val="Calibri"/>
      <family val="2"/>
      <scheme val="minor"/>
    </font>
    <font>
      <b/>
      <sz val="10"/>
      <name val="Calibri"/>
      <family val="2"/>
      <scheme val="minor"/>
    </font>
    <font>
      <b/>
      <sz val="11"/>
      <name val="Calibri"/>
      <family val="2"/>
      <scheme val="minor"/>
    </font>
    <font>
      <sz val="10"/>
      <color theme="1"/>
      <name val="Calibri"/>
      <family val="2"/>
      <scheme val="minor"/>
    </font>
    <font>
      <b/>
      <sz val="9"/>
      <name val="Calibri"/>
      <family val="2"/>
      <scheme val="minor"/>
    </font>
    <font>
      <sz val="10"/>
      <name val="Calibri"/>
      <family val="2"/>
      <scheme val="minor"/>
    </font>
    <font>
      <sz val="10"/>
      <color rgb="FFFF0000"/>
      <name val="Calibri"/>
      <family val="2"/>
      <scheme val="minor"/>
    </font>
    <font>
      <sz val="10"/>
      <color rgb="FF777777"/>
      <name val="Calibri"/>
      <family val="2"/>
      <scheme val="minor"/>
    </font>
    <font>
      <sz val="10"/>
      <color rgb="FF333333"/>
      <name val="Calibri"/>
      <family val="2"/>
      <scheme val="minor"/>
    </font>
    <font>
      <b/>
      <sz val="14"/>
      <name val="Calibri"/>
      <family val="2"/>
      <scheme val="minor"/>
    </font>
    <font>
      <b/>
      <sz val="10"/>
      <color rgb="FFFF0000"/>
      <name val="Calibri"/>
      <family val="2"/>
      <scheme val="minor"/>
    </font>
    <font>
      <sz val="10"/>
      <color indexed="8"/>
      <name val="Calibri"/>
      <family val="2"/>
      <scheme val="minor"/>
    </font>
    <font>
      <u/>
      <sz val="11"/>
      <color theme="10"/>
      <name val="Calibri"/>
      <family val="2"/>
      <scheme val="minor"/>
    </font>
    <font>
      <sz val="8"/>
      <color theme="1"/>
      <name val="Arial"/>
      <family val="2"/>
    </font>
    <font>
      <sz val="11"/>
      <color rgb="FF000000"/>
      <name val="Calibri"/>
      <family val="2"/>
    </font>
    <font>
      <sz val="10"/>
      <name val="Calibri"/>
      <family val="2"/>
    </font>
    <font>
      <sz val="10"/>
      <color rgb="FF000000"/>
      <name val="Calibri"/>
      <family val="2"/>
      <scheme val="minor"/>
    </font>
    <font>
      <sz val="9"/>
      <color rgb="FF000000"/>
      <name val="Calibri"/>
      <family val="2"/>
      <scheme val="minor"/>
    </font>
    <font>
      <sz val="10"/>
      <color rgb="FF0070C0"/>
      <name val="Calibri"/>
      <family val="2"/>
      <scheme val="minor"/>
    </font>
    <font>
      <b/>
      <sz val="9"/>
      <color indexed="81"/>
      <name val="Tahoma"/>
      <family val="2"/>
    </font>
    <font>
      <sz val="9"/>
      <color indexed="81"/>
      <name val="Tahoma"/>
      <family val="2"/>
    </font>
    <font>
      <sz val="8"/>
      <color rgb="FF000000"/>
      <name val="Calibri"/>
      <family val="2"/>
      <scheme val="minor"/>
    </font>
    <font>
      <sz val="11"/>
      <name val="Calibri"/>
      <family val="2"/>
      <scheme val="minor"/>
    </font>
    <font>
      <u/>
      <sz val="8"/>
      <color theme="10"/>
      <name val="Calibri"/>
      <family val="2"/>
      <scheme val="minor"/>
    </font>
    <font>
      <sz val="11"/>
      <color rgb="FFFF0000"/>
      <name val="Calibri"/>
      <family val="2"/>
      <scheme val="minor"/>
    </font>
    <font>
      <b/>
      <sz val="8"/>
      <name val="Calibri"/>
      <family val="2"/>
      <scheme val="minor"/>
    </font>
    <font>
      <b/>
      <sz val="8"/>
      <color rgb="FFFF0000"/>
      <name val="Calibri"/>
      <family val="2"/>
      <scheme val="minor"/>
    </font>
    <font>
      <b/>
      <sz val="11"/>
      <color rgb="FFFF0000"/>
      <name val="Calibri"/>
      <family val="2"/>
    </font>
    <font>
      <b/>
      <sz val="9"/>
      <color theme="5" tint="-0.499984740745262"/>
      <name val="Arial"/>
      <family val="2"/>
    </font>
    <font>
      <b/>
      <sz val="10"/>
      <color theme="5" tint="-0.499984740745262"/>
      <name val="Calibri"/>
      <family val="2"/>
      <scheme val="minor"/>
    </font>
    <font>
      <b/>
      <sz val="11"/>
      <color theme="5" tint="-0.499984740745262"/>
      <name val="Calibri"/>
      <family val="2"/>
      <scheme val="minor"/>
    </font>
    <font>
      <sz val="8"/>
      <color theme="1"/>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xf numFmtId="9" fontId="24" fillId="0" borderId="0" applyFont="0" applyFill="0" applyBorder="0" applyAlignment="0" applyProtection="0"/>
  </cellStyleXfs>
  <cellXfs count="316">
    <xf numFmtId="0" fontId="0" fillId="0" borderId="0" xfId="0"/>
    <xf numFmtId="0" fontId="0" fillId="0" borderId="0" xfId="0" applyFont="1" applyAlignment="1">
      <alignment vertical="center"/>
    </xf>
    <xf numFmtId="0" fontId="0" fillId="0" borderId="0" xfId="0" applyFont="1" applyAlignment="1">
      <alignment horizontal="justify" vertical="center" textRotation="90"/>
    </xf>
    <xf numFmtId="0" fontId="0" fillId="0" borderId="0" xfId="0" applyFont="1" applyFill="1"/>
    <xf numFmtId="0" fontId="0" fillId="0" borderId="0" xfId="0" applyFont="1"/>
    <xf numFmtId="0" fontId="0" fillId="0" borderId="0" xfId="0" applyAlignment="1">
      <alignment textRotation="90"/>
    </xf>
    <xf numFmtId="0" fontId="0" fillId="0" borderId="0" xfId="0" applyAlignment="1">
      <alignment horizontal="center" vertical="center"/>
    </xf>
    <xf numFmtId="0" fontId="0" fillId="0" borderId="0" xfId="0" applyAlignment="1">
      <alignment horizontal="justify" vertical="center"/>
    </xf>
    <xf numFmtId="0" fontId="0" fillId="0" borderId="0" xfId="0" applyFont="1" applyAlignment="1">
      <alignment textRotation="90"/>
    </xf>
    <xf numFmtId="0" fontId="0" fillId="0" borderId="0" xfId="0" applyAlignment="1">
      <alignment vertical="center" textRotation="90"/>
    </xf>
    <xf numFmtId="0" fontId="7" fillId="0" borderId="5" xfId="2" applyFont="1" applyBorder="1" applyAlignment="1">
      <alignment horizontal="center" vertical="center" textRotation="90" wrapText="1"/>
    </xf>
    <xf numFmtId="0" fontId="7" fillId="0" borderId="6" xfId="2" applyFont="1" applyBorder="1" applyAlignment="1">
      <alignment horizontal="left" textRotation="90" wrapText="1"/>
    </xf>
    <xf numFmtId="0" fontId="7" fillId="0" borderId="0" xfId="2" applyFont="1" applyBorder="1" applyAlignment="1">
      <alignment horizontal="left" wrapText="1"/>
    </xf>
    <xf numFmtId="0" fontId="7" fillId="0" borderId="5" xfId="2"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horizontal="center" vertical="center" textRotation="90" wrapText="1"/>
    </xf>
    <xf numFmtId="0" fontId="7" fillId="0" borderId="0" xfId="2" applyFont="1" applyBorder="1" applyAlignment="1">
      <alignment horizontal="center" wrapText="1"/>
    </xf>
    <xf numFmtId="0" fontId="7" fillId="0" borderId="0" xfId="2" applyFont="1" applyBorder="1" applyAlignment="1">
      <alignment horizontal="justify" vertical="center" wrapText="1"/>
    </xf>
    <xf numFmtId="0" fontId="8" fillId="0" borderId="0" xfId="2" applyFont="1" applyBorder="1" applyAlignment="1">
      <alignment horizontal="center" wrapText="1"/>
    </xf>
    <xf numFmtId="0" fontId="0" fillId="0" borderId="0" xfId="0" applyFill="1"/>
    <xf numFmtId="0" fontId="9" fillId="0" borderId="0" xfId="2" applyFont="1" applyBorder="1" applyAlignment="1">
      <alignment horizontal="center" vertical="center" wrapText="1"/>
    </xf>
    <xf numFmtId="0" fontId="9" fillId="0" borderId="0" xfId="2" applyFont="1" applyBorder="1" applyAlignment="1">
      <alignment vertical="center" wrapText="1"/>
    </xf>
    <xf numFmtId="0" fontId="0" fillId="0" borderId="0" xfId="0" applyBorder="1"/>
    <xf numFmtId="0" fontId="13" fillId="0" borderId="0" xfId="0" applyFont="1"/>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textRotation="90" wrapText="1"/>
    </xf>
    <xf numFmtId="0" fontId="15" fillId="0" borderId="1" xfId="0" applyFont="1" applyFill="1" applyBorder="1" applyAlignment="1">
      <alignment horizontal="center" vertical="center" textRotation="90" wrapText="1"/>
    </xf>
    <xf numFmtId="9" fontId="15"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3" fillId="0" borderId="0" xfId="0" applyFont="1" applyFill="1"/>
    <xf numFmtId="1" fontId="15"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5" fillId="0" borderId="1" xfId="0" applyFont="1" applyFill="1" applyBorder="1" applyAlignment="1">
      <alignment vertical="center" wrapText="1"/>
    </xf>
    <xf numFmtId="0" fontId="13" fillId="0" borderId="1" xfId="0" applyFont="1" applyFill="1" applyBorder="1" applyAlignment="1">
      <alignment vertical="center" wrapText="1"/>
    </xf>
    <xf numFmtId="10" fontId="15"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22" fillId="0" borderId="1" xfId="3" applyFill="1" applyBorder="1" applyAlignment="1">
      <alignment vertical="center" wrapText="1"/>
    </xf>
    <xf numFmtId="0" fontId="15" fillId="0" borderId="1" xfId="0" quotePrefix="1" applyFont="1" applyFill="1" applyBorder="1" applyAlignment="1">
      <alignment horizontal="justify" vertical="center"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textRotation="90" wrapText="1"/>
    </xf>
    <xf numFmtId="0" fontId="13" fillId="0" borderId="1" xfId="0" applyFont="1" applyFill="1" applyBorder="1" applyAlignment="1">
      <alignment horizontal="justify" vertical="center" wrapText="1"/>
    </xf>
    <xf numFmtId="9"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justify" vertical="center" wrapText="1"/>
    </xf>
    <xf numFmtId="0" fontId="23" fillId="0" borderId="14" xfId="0" applyFont="1" applyFill="1" applyBorder="1" applyAlignment="1">
      <alignment horizontal="center" vertical="center" textRotation="90" wrapText="1"/>
    </xf>
    <xf numFmtId="0" fontId="23" fillId="0" borderId="1" xfId="0" applyFont="1" applyFill="1" applyBorder="1" applyAlignment="1">
      <alignment horizontal="justify" vertical="center" wrapText="1"/>
    </xf>
    <xf numFmtId="0" fontId="23" fillId="0" borderId="0" xfId="0" applyFont="1" applyFill="1"/>
    <xf numFmtId="9" fontId="15"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9" fontId="15" fillId="0" borderId="1" xfId="4" applyFont="1" applyFill="1" applyBorder="1" applyAlignment="1">
      <alignment horizontal="center" vertical="center" wrapText="1"/>
    </xf>
    <xf numFmtId="9" fontId="11" fillId="0" borderId="1" xfId="4"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25" fillId="0" borderId="1" xfId="0" quotePrefix="1" applyFont="1" applyFill="1" applyBorder="1" applyAlignment="1">
      <alignment horizontal="center" vertical="center" wrapText="1"/>
    </xf>
    <xf numFmtId="0" fontId="25" fillId="0" borderId="1" xfId="0" quotePrefix="1" applyFont="1" applyFill="1" applyBorder="1" applyAlignment="1">
      <alignment horizontal="left" vertical="top" wrapText="1"/>
    </xf>
    <xf numFmtId="9" fontId="13" fillId="0" borderId="0" xfId="1" applyFont="1" applyFill="1"/>
    <xf numFmtId="0" fontId="15" fillId="0" borderId="1" xfId="0" applyFont="1" applyFill="1" applyBorder="1" applyAlignment="1">
      <alignment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textRotation="90" wrapText="1"/>
    </xf>
    <xf numFmtId="9" fontId="15" fillId="0" borderId="1" xfId="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5" fillId="0" borderId="1" xfId="2"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9" fontId="26"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9" fontId="13" fillId="0" borderId="1" xfId="0" applyNumberFormat="1" applyFont="1" applyFill="1" applyBorder="1" applyAlignment="1">
      <alignment horizontal="center" vertical="center"/>
    </xf>
    <xf numFmtId="9" fontId="13" fillId="0" borderId="1" xfId="4" applyFont="1" applyFill="1" applyBorder="1" applyAlignment="1">
      <alignment horizontal="center" vertical="center"/>
    </xf>
    <xf numFmtId="0" fontId="13" fillId="0" borderId="1" xfId="0" applyFont="1" applyFill="1" applyBorder="1" applyAlignment="1">
      <alignment horizontal="center" vertical="center"/>
    </xf>
    <xf numFmtId="9" fontId="13" fillId="3"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9" fontId="26" fillId="0" borderId="1" xfId="0" applyNumberFormat="1" applyFont="1" applyFill="1" applyBorder="1" applyAlignment="1">
      <alignment horizontal="center" vertical="center"/>
    </xf>
    <xf numFmtId="0" fontId="26" fillId="0" borderId="1" xfId="0" applyFont="1" applyFill="1" applyBorder="1" applyAlignment="1">
      <alignment horizontal="center" vertical="center" wrapText="1" readingOrder="1"/>
    </xf>
    <xf numFmtId="9" fontId="26" fillId="0" borderId="1" xfId="4" applyFont="1" applyFill="1" applyBorder="1" applyAlignment="1">
      <alignment horizontal="center" vertical="center" wrapText="1" readingOrder="1"/>
    </xf>
    <xf numFmtId="1" fontId="26" fillId="0" borderId="1" xfId="0" applyNumberFormat="1" applyFont="1" applyFill="1" applyBorder="1" applyAlignment="1">
      <alignment horizontal="center" vertical="center" wrapText="1"/>
    </xf>
    <xf numFmtId="165" fontId="15"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9" fontId="12" fillId="0" borderId="1" xfId="0" applyNumberFormat="1" applyFont="1" applyFill="1" applyBorder="1" applyAlignment="1">
      <alignment horizontal="center" vertical="center" wrapText="1"/>
    </xf>
    <xf numFmtId="0" fontId="0" fillId="0" borderId="0" xfId="0" applyAlignment="1"/>
    <xf numFmtId="0" fontId="13" fillId="3" borderId="1" xfId="0" applyFont="1" applyFill="1" applyBorder="1" applyAlignment="1">
      <alignment horizontal="center" vertical="center" wrapText="1"/>
    </xf>
    <xf numFmtId="0" fontId="33" fillId="0" borderId="1" xfId="3"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0" fontId="22" fillId="0" borderId="1" xfId="3" applyFill="1" applyBorder="1" applyAlignment="1">
      <alignment horizontal="center" vertical="center" wrapText="1"/>
    </xf>
    <xf numFmtId="0" fontId="31" fillId="0" borderId="1"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Fill="1" applyBorder="1" applyAlignment="1">
      <alignment vertical="center" wrapText="1"/>
    </xf>
    <xf numFmtId="0" fontId="13" fillId="0" borderId="1" xfId="2"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0" fillId="0" borderId="0" xfId="0" applyFill="1" applyAlignment="1">
      <alignment horizontal="justify" vertical="center"/>
    </xf>
    <xf numFmtId="9" fontId="11" fillId="0" borderId="1"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textRotation="90" wrapText="1"/>
    </xf>
    <xf numFmtId="0" fontId="15" fillId="0"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9" fontId="15" fillId="0"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9" fontId="15" fillId="3"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10" fontId="15" fillId="3" borderId="1"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165" fontId="15" fillId="3" borderId="1" xfId="0" applyNumberFormat="1" applyFont="1" applyFill="1" applyBorder="1" applyAlignment="1">
      <alignment horizontal="center" vertical="center" wrapText="1"/>
    </xf>
    <xf numFmtId="9" fontId="32" fillId="3" borderId="1"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9" fontId="11" fillId="3" borderId="1" xfId="4"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9" fontId="15" fillId="3" borderId="1" xfId="1" applyFont="1" applyFill="1" applyBorder="1" applyAlignment="1">
      <alignment horizontal="center" vertical="center" wrapText="1"/>
    </xf>
    <xf numFmtId="0" fontId="19" fillId="0" borderId="0" xfId="0" applyFont="1"/>
    <xf numFmtId="0" fontId="12" fillId="0" borderId="1" xfId="0" applyFont="1" applyFill="1" applyBorder="1" applyAlignment="1">
      <alignment horizontal="center" vertical="center" wrapText="1"/>
    </xf>
    <xf numFmtId="0" fontId="19" fillId="0" borderId="0" xfId="0" applyFont="1" applyFill="1"/>
    <xf numFmtId="9"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32" fillId="0" borderId="0" xfId="0" applyFont="1" applyFill="1"/>
    <xf numFmtId="10" fontId="12" fillId="0" borderId="0" xfId="0" applyNumberFormat="1" applyFont="1" applyFill="1" applyAlignment="1">
      <alignment horizontal="center" vertical="center"/>
    </xf>
    <xf numFmtId="0" fontId="32" fillId="0" borderId="0" xfId="0" applyFont="1" applyAlignment="1">
      <alignment horizontal="center" vertical="center"/>
    </xf>
    <xf numFmtId="0" fontId="12" fillId="0" borderId="0" xfId="0" applyFont="1"/>
    <xf numFmtId="0" fontId="32" fillId="0" borderId="0" xfId="0" applyFont="1"/>
    <xf numFmtId="0" fontId="35" fillId="0" borderId="0" xfId="0" applyFont="1" applyFill="1" applyAlignment="1">
      <alignment horizontal="center" vertical="center"/>
    </xf>
    <xf numFmtId="0" fontId="32" fillId="3"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5" fillId="3" borderId="1" xfId="0" applyFont="1" applyFill="1" applyBorder="1" applyAlignment="1" applyProtection="1">
      <alignment horizontal="center" vertical="center" wrapText="1"/>
    </xf>
    <xf numFmtId="9" fontId="15" fillId="3" borderId="1" xfId="0" applyNumberFormat="1" applyFont="1" applyFill="1" applyBorder="1" applyAlignment="1">
      <alignment horizontal="center" vertical="center"/>
    </xf>
    <xf numFmtId="9" fontId="15" fillId="0" borderId="1" xfId="0" applyNumberFormat="1" applyFont="1" applyFill="1" applyBorder="1" applyAlignment="1">
      <alignment horizontal="center" vertical="center"/>
    </xf>
    <xf numFmtId="9" fontId="11" fillId="3" borderId="1" xfId="0" applyNumberFormat="1" applyFont="1" applyFill="1" applyBorder="1" applyAlignment="1">
      <alignment horizontal="center" vertical="center"/>
    </xf>
    <xf numFmtId="9" fontId="11" fillId="0" borderId="1" xfId="0" applyNumberFormat="1" applyFont="1" applyFill="1" applyBorder="1" applyAlignment="1">
      <alignment horizontal="center" vertical="center"/>
    </xf>
    <xf numFmtId="9" fontId="15" fillId="3" borderId="1" xfId="4" applyFont="1" applyFill="1" applyBorder="1" applyAlignment="1">
      <alignment horizontal="center" vertical="center" wrapText="1" readingOrder="1"/>
    </xf>
    <xf numFmtId="9" fontId="15" fillId="0" borderId="1" xfId="4" applyFont="1" applyFill="1" applyBorder="1" applyAlignment="1">
      <alignment horizontal="center" vertical="center" wrapText="1" readingOrder="1"/>
    </xf>
    <xf numFmtId="0" fontId="34" fillId="0" borderId="0" xfId="0" applyFont="1" applyFill="1"/>
    <xf numFmtId="0" fontId="34" fillId="0" borderId="0" xfId="0" applyFont="1"/>
    <xf numFmtId="0" fontId="36" fillId="0" borderId="0" xfId="0" applyFont="1" applyFill="1" applyAlignment="1">
      <alignment horizontal="center" vertical="center"/>
    </xf>
    <xf numFmtId="0" fontId="37" fillId="0" borderId="0" xfId="2" applyFont="1" applyBorder="1" applyAlignment="1">
      <alignment vertical="center" wrapText="1"/>
    </xf>
    <xf numFmtId="0" fontId="34" fillId="0" borderId="0" xfId="0" applyFont="1" applyAlignment="1">
      <alignment horizontal="center" vertical="center"/>
    </xf>
    <xf numFmtId="0" fontId="15" fillId="0" borderId="1" xfId="0" quotePrefix="1" applyFont="1" applyFill="1" applyBorder="1" applyAlignment="1">
      <alignment horizontal="center" vertical="center" wrapText="1"/>
    </xf>
    <xf numFmtId="9" fontId="15" fillId="0" borderId="1" xfId="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9" fontId="13" fillId="0" borderId="1" xfId="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9" fontId="15" fillId="3" borderId="1" xfId="1" applyFont="1" applyFill="1" applyBorder="1" applyAlignment="1" applyProtection="1">
      <alignment horizontal="center" vertical="center" wrapText="1"/>
    </xf>
    <xf numFmtId="9" fontId="15" fillId="0" borderId="1" xfId="1" applyFont="1" applyFill="1" applyBorder="1" applyAlignment="1" applyProtection="1">
      <alignment horizontal="center" vertical="center" wrapText="1"/>
    </xf>
    <xf numFmtId="0" fontId="5" fillId="0" borderId="0" xfId="0" applyFont="1" applyAlignment="1">
      <alignment horizontal="justify" vertical="center"/>
    </xf>
    <xf numFmtId="0" fontId="13" fillId="3" borderId="1" xfId="0" applyFont="1" applyFill="1" applyBorder="1" applyAlignment="1">
      <alignment horizontal="justify" vertical="center" wrapText="1"/>
    </xf>
    <xf numFmtId="0" fontId="27" fillId="0" borderId="1" xfId="0" applyFont="1" applyFill="1" applyBorder="1" applyAlignment="1">
      <alignment horizontal="justify" vertical="center" wrapText="1"/>
    </xf>
    <xf numFmtId="0" fontId="38" fillId="0" borderId="0" xfId="2" applyFont="1" applyBorder="1" applyAlignment="1">
      <alignment horizontal="center" vertical="center" wrapText="1"/>
    </xf>
    <xf numFmtId="0" fontId="40" fillId="0" borderId="0" xfId="0" applyFont="1" applyAlignment="1">
      <alignment horizontal="center" vertical="center"/>
    </xf>
    <xf numFmtId="164" fontId="15" fillId="3" borderId="1" xfId="0" applyNumberFormat="1"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9" fontId="23" fillId="0" borderId="1" xfId="1" applyFont="1" applyFill="1" applyBorder="1" applyAlignment="1">
      <alignment horizontal="center" vertical="center"/>
    </xf>
    <xf numFmtId="9" fontId="13" fillId="0" borderId="1" xfId="0" applyNumberFormat="1" applyFont="1" applyFill="1" applyBorder="1" applyAlignment="1">
      <alignment horizontal="justify" vertical="center" wrapText="1"/>
    </xf>
    <xf numFmtId="9" fontId="15" fillId="0" borderId="1" xfId="0" applyNumberFormat="1" applyFont="1" applyFill="1" applyBorder="1" applyAlignment="1">
      <alignment horizontal="justify" vertical="center" wrapText="1"/>
    </xf>
    <xf numFmtId="9" fontId="39" fillId="9" borderId="1" xfId="0" applyNumberFormat="1" applyFont="1" applyFill="1" applyBorder="1" applyAlignment="1">
      <alignment horizontal="center" vertical="center" wrapText="1"/>
    </xf>
    <xf numFmtId="0" fontId="39" fillId="9" borderId="1" xfId="0" applyFont="1" applyFill="1" applyBorder="1" applyAlignment="1">
      <alignment horizontal="center" vertical="center" wrapText="1"/>
    </xf>
    <xf numFmtId="9" fontId="39" fillId="9" borderId="1" xfId="1" applyFont="1" applyFill="1" applyBorder="1" applyAlignment="1">
      <alignment horizontal="center" vertical="center" wrapText="1"/>
    </xf>
    <xf numFmtId="9" fontId="15" fillId="8" borderId="1" xfId="0" applyNumberFormat="1" applyFont="1" applyFill="1" applyBorder="1" applyAlignment="1">
      <alignment horizontal="center" vertical="center" wrapText="1"/>
    </xf>
    <xf numFmtId="9" fontId="13" fillId="8" borderId="1" xfId="0" applyNumberFormat="1" applyFont="1" applyFill="1" applyBorder="1" applyAlignment="1">
      <alignment horizontal="center" vertical="center" wrapText="1"/>
    </xf>
    <xf numFmtId="9" fontId="23" fillId="8" borderId="1" xfId="0" applyNumberFormat="1" applyFont="1" applyFill="1" applyBorder="1" applyAlignment="1">
      <alignment horizontal="center" vertical="center"/>
    </xf>
    <xf numFmtId="9" fontId="15" fillId="8" borderId="1" xfId="1" applyFont="1" applyFill="1" applyBorder="1" applyAlignment="1">
      <alignment horizontal="center" vertical="center" wrapText="1"/>
    </xf>
    <xf numFmtId="9" fontId="0" fillId="2" borderId="15" xfId="0" applyNumberFormat="1" applyFill="1" applyBorder="1" applyAlignment="1">
      <alignment horizontal="center" vertical="center"/>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textRotation="90" wrapText="1"/>
    </xf>
    <xf numFmtId="0" fontId="15" fillId="0" borderId="1" xfId="0" applyFont="1" applyFill="1" applyBorder="1" applyAlignment="1">
      <alignment horizontal="center" vertical="center" textRotation="90" wrapText="1"/>
    </xf>
    <xf numFmtId="9" fontId="15" fillId="0" borderId="1" xfId="0" applyNumberFormat="1" applyFont="1" applyFill="1" applyBorder="1" applyAlignment="1">
      <alignment horizontal="justify" vertical="center" wrapText="1"/>
    </xf>
    <xf numFmtId="0" fontId="15" fillId="0" borderId="1" xfId="0" applyFont="1" applyFill="1" applyBorder="1" applyAlignment="1" applyProtection="1">
      <alignment horizontal="center" vertical="center" wrapText="1"/>
    </xf>
    <xf numFmtId="0" fontId="13" fillId="0" borderId="1" xfId="0" quotePrefix="1" applyFont="1" applyFill="1" applyBorder="1" applyAlignment="1">
      <alignment horizontal="justify" vertical="center" wrapText="1"/>
    </xf>
    <xf numFmtId="0" fontId="11" fillId="0" borderId="1" xfId="2" applyFont="1" applyFill="1" applyBorder="1" applyAlignment="1">
      <alignment horizontal="center" vertical="center" wrapText="1"/>
    </xf>
    <xf numFmtId="0" fontId="7" fillId="0" borderId="0" xfId="2" applyFont="1" applyBorder="1" applyAlignment="1">
      <alignment horizontal="center" textRotation="90" wrapText="1"/>
    </xf>
    <xf numFmtId="0" fontId="13" fillId="3" borderId="1" xfId="0" applyFont="1" applyFill="1" applyBorder="1" applyAlignment="1">
      <alignment horizontal="center" vertical="center" textRotation="90" wrapText="1"/>
    </xf>
    <xf numFmtId="0" fontId="26" fillId="0" borderId="1" xfId="0" applyFont="1" applyFill="1" applyBorder="1" applyAlignment="1">
      <alignment horizontal="center" vertical="center" textRotation="90" wrapText="1"/>
    </xf>
    <xf numFmtId="9" fontId="13" fillId="0" borderId="1" xfId="0" applyNumberFormat="1" applyFont="1" applyFill="1" applyBorder="1" applyAlignment="1">
      <alignment horizontal="center" vertical="center" textRotation="90"/>
    </xf>
    <xf numFmtId="0" fontId="26" fillId="0" borderId="1" xfId="0" applyFont="1" applyFill="1" applyBorder="1" applyAlignment="1">
      <alignment horizontal="center" vertical="center" textRotation="90"/>
    </xf>
    <xf numFmtId="0" fontId="41" fillId="0" borderId="0" xfId="0" applyFont="1"/>
    <xf numFmtId="0" fontId="42" fillId="0" borderId="0" xfId="0" applyFont="1"/>
    <xf numFmtId="9" fontId="15" fillId="0" borderId="1" xfId="1"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7" xfId="0" applyFont="1" applyFill="1" applyBorder="1" applyAlignment="1">
      <alignment horizontal="center" vertical="center" textRotation="90" wrapText="1"/>
    </xf>
    <xf numFmtId="0" fontId="15" fillId="0" borderId="8" xfId="0" applyFont="1" applyFill="1" applyBorder="1" applyAlignment="1">
      <alignment horizontal="center" vertical="center" textRotation="90" wrapText="1"/>
    </xf>
    <xf numFmtId="0" fontId="15" fillId="0" borderId="11" xfId="0" applyFont="1" applyFill="1" applyBorder="1" applyAlignment="1">
      <alignment horizontal="center" vertical="center" textRotation="90" wrapText="1"/>
    </xf>
    <xf numFmtId="0" fontId="15" fillId="0" borderId="12" xfId="0" applyFont="1" applyFill="1" applyBorder="1" applyAlignment="1">
      <alignment horizontal="center" vertical="center" textRotation="90" wrapText="1"/>
    </xf>
    <xf numFmtId="0" fontId="4" fillId="0" borderId="1" xfId="2" applyFont="1" applyBorder="1" applyAlignment="1">
      <alignment horizontal="center" vertical="center" wrapText="1"/>
    </xf>
    <xf numFmtId="0" fontId="4" fillId="0" borderId="1" xfId="2" applyFont="1" applyBorder="1" applyAlignment="1">
      <alignment horizont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12" fillId="0" borderId="1" xfId="2" applyFont="1" applyFill="1" applyBorder="1" applyAlignment="1">
      <alignment horizontal="center"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9" fillId="0" borderId="0" xfId="2"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64" fontId="15" fillId="0" borderId="9" xfId="0" applyNumberFormat="1" applyFont="1" applyFill="1" applyBorder="1" applyAlignment="1">
      <alignment horizontal="center" vertical="center" wrapText="1"/>
    </xf>
    <xf numFmtId="164" fontId="15" fillId="0" borderId="10"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2" applyFont="1" applyFill="1" applyBorder="1" applyAlignment="1">
      <alignment horizontal="justify" vertical="center" wrapText="1"/>
    </xf>
    <xf numFmtId="0" fontId="11" fillId="0" borderId="1" xfId="2" applyFont="1" applyFill="1" applyBorder="1" applyAlignment="1">
      <alignment horizontal="center" vertical="center" wrapText="1"/>
    </xf>
    <xf numFmtId="0" fontId="15" fillId="0" borderId="9" xfId="0" applyFont="1" applyFill="1" applyBorder="1" applyAlignment="1">
      <alignment horizontal="center" vertical="center" textRotation="90" wrapText="1"/>
    </xf>
    <xf numFmtId="0" fontId="15" fillId="0" borderId="10" xfId="0" applyFont="1" applyFill="1" applyBorder="1" applyAlignment="1">
      <alignment horizontal="center" vertical="center" textRotation="90" wrapText="1"/>
    </xf>
    <xf numFmtId="1" fontId="15" fillId="0" borderId="9" xfId="0" applyNumberFormat="1" applyFont="1" applyFill="1" applyBorder="1" applyAlignment="1">
      <alignment horizontal="center" vertical="center" wrapText="1"/>
    </xf>
    <xf numFmtId="1" fontId="15" fillId="0" borderId="10" xfId="0" applyNumberFormat="1" applyFont="1" applyFill="1" applyBorder="1" applyAlignment="1">
      <alignment horizontal="center" vertical="center" wrapText="1"/>
    </xf>
    <xf numFmtId="9" fontId="39" fillId="9" borderId="9" xfId="0" applyNumberFormat="1" applyFont="1" applyFill="1" applyBorder="1" applyAlignment="1">
      <alignment horizontal="center" vertical="center" wrapText="1"/>
    </xf>
    <xf numFmtId="9" fontId="39" fillId="9" borderId="10" xfId="0" applyNumberFormat="1" applyFont="1" applyFill="1" applyBorder="1" applyAlignment="1">
      <alignment horizontal="center" vertical="center" wrapText="1"/>
    </xf>
    <xf numFmtId="9" fontId="15" fillId="0" borderId="9" xfId="0" applyNumberFormat="1" applyFont="1" applyFill="1" applyBorder="1" applyAlignment="1">
      <alignment horizontal="justify" vertical="center" wrapText="1"/>
    </xf>
    <xf numFmtId="9" fontId="15" fillId="0" borderId="10" xfId="0" applyNumberFormat="1" applyFont="1" applyFill="1" applyBorder="1" applyAlignment="1">
      <alignment horizontal="justify" vertical="center" wrapText="1"/>
    </xf>
    <xf numFmtId="9" fontId="39" fillId="9" borderId="13"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textRotation="90" wrapText="1"/>
    </xf>
    <xf numFmtId="0" fontId="39" fillId="9" borderId="1"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6" borderId="1" xfId="2" applyFont="1" applyFill="1" applyBorder="1" applyAlignment="1">
      <alignment horizontal="center" vertical="center" wrapText="1"/>
    </xf>
    <xf numFmtId="0" fontId="11" fillId="0" borderId="1" xfId="2" applyFont="1" applyFill="1" applyBorder="1" applyAlignment="1">
      <alignment horizontal="center" vertical="center" textRotation="90" wrapText="1"/>
    </xf>
    <xf numFmtId="0" fontId="14" fillId="0" borderId="1" xfId="2" applyFont="1" applyFill="1" applyBorder="1" applyAlignment="1">
      <alignment horizontal="justify" vertical="center" wrapText="1"/>
    </xf>
    <xf numFmtId="0" fontId="11" fillId="0" borderId="1" xfId="2" applyFont="1" applyFill="1" applyBorder="1" applyAlignment="1">
      <alignment horizontal="center" vertical="center"/>
    </xf>
    <xf numFmtId="0" fontId="11" fillId="5" borderId="1" xfId="2" applyFont="1" applyFill="1" applyBorder="1" applyAlignment="1">
      <alignment horizontal="center" vertical="center" wrapText="1"/>
    </xf>
    <xf numFmtId="0" fontId="11" fillId="7" borderId="1" xfId="2"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5" fillId="0" borderId="2" xfId="0" applyFont="1" applyFill="1" applyBorder="1" applyAlignment="1">
      <alignment horizontal="center" vertical="center" textRotation="90" wrapText="1"/>
    </xf>
    <xf numFmtId="0" fontId="15" fillId="0" borderId="4" xfId="0" applyFont="1" applyFill="1" applyBorder="1" applyAlignment="1">
      <alignment horizontal="center" vertical="center" textRotation="90" wrapText="1"/>
    </xf>
    <xf numFmtId="0" fontId="10" fillId="0" borderId="1" xfId="0" applyFont="1" applyFill="1" applyBorder="1" applyAlignment="1">
      <alignment horizontal="center"/>
    </xf>
    <xf numFmtId="0" fontId="13" fillId="0" borderId="1" xfId="0" applyFont="1" applyFill="1" applyBorder="1" applyAlignment="1">
      <alignment horizontal="center" vertical="center" textRotation="90" wrapText="1"/>
    </xf>
    <xf numFmtId="0" fontId="15" fillId="0" borderId="13" xfId="0" applyFont="1" applyFill="1" applyBorder="1" applyAlignment="1">
      <alignment horizontal="center" vertical="center" textRotation="90" wrapText="1"/>
    </xf>
    <xf numFmtId="9" fontId="15" fillId="0" borderId="9" xfId="0" applyNumberFormat="1" applyFont="1" applyFill="1" applyBorder="1" applyAlignment="1">
      <alignment horizontal="center" vertical="center" wrapText="1"/>
    </xf>
    <xf numFmtId="9" fontId="15" fillId="0" borderId="13"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textRotation="90" wrapText="1"/>
    </xf>
    <xf numFmtId="1" fontId="15" fillId="0" borderId="1" xfId="0" applyNumberFormat="1" applyFont="1" applyFill="1" applyBorder="1" applyAlignment="1">
      <alignment horizontal="center" vertical="center" wrapText="1"/>
    </xf>
    <xf numFmtId="9" fontId="39" fillId="9" borderId="1" xfId="1" applyFont="1" applyFill="1" applyBorder="1" applyAlignment="1">
      <alignment horizontal="center" vertical="center" wrapText="1"/>
    </xf>
    <xf numFmtId="9" fontId="15" fillId="0" borderId="1" xfId="1" applyFont="1" applyFill="1" applyBorder="1" applyAlignment="1">
      <alignment horizontal="justify" vertical="center" wrapText="1"/>
    </xf>
    <xf numFmtId="10" fontId="15" fillId="0" borderId="1" xfId="1" applyNumberFormat="1" applyFont="1" applyFill="1" applyBorder="1" applyAlignment="1">
      <alignment horizontal="center" vertical="center" wrapText="1"/>
    </xf>
    <xf numFmtId="10" fontId="13" fillId="0" borderId="1" xfId="1" applyNumberFormat="1" applyFont="1" applyFill="1" applyBorder="1" applyAlignment="1">
      <alignment horizontal="center" vertical="center" wrapText="1"/>
    </xf>
    <xf numFmtId="0" fontId="13" fillId="0" borderId="1" xfId="0" applyFont="1" applyFill="1" applyBorder="1" applyAlignment="1">
      <alignment horizontal="justify" vertical="center" wrapText="1"/>
    </xf>
    <xf numFmtId="164" fontId="39" fillId="9" borderId="1" xfId="0" applyNumberFormat="1" applyFont="1" applyFill="1" applyBorder="1" applyAlignment="1">
      <alignment horizontal="center" vertical="center" wrapText="1"/>
    </xf>
    <xf numFmtId="10" fontId="15" fillId="0" borderId="1" xfId="1" applyNumberFormat="1" applyFont="1" applyFill="1" applyBorder="1" applyAlignment="1">
      <alignment horizontal="justify" vertical="center" wrapText="1"/>
    </xf>
    <xf numFmtId="10" fontId="13" fillId="0" borderId="1" xfId="1" applyNumberFormat="1" applyFont="1" applyFill="1" applyBorder="1" applyAlignment="1">
      <alignment horizontal="justify" vertical="center" wrapText="1"/>
    </xf>
    <xf numFmtId="9" fontId="15" fillId="8" borderId="1" xfId="1" applyNumberFormat="1" applyFont="1" applyFill="1" applyBorder="1" applyAlignment="1">
      <alignment horizontal="center" vertical="center" wrapText="1"/>
    </xf>
    <xf numFmtId="9" fontId="13" fillId="8" borderId="1" xfId="1" applyNumberFormat="1" applyFont="1" applyFill="1" applyBorder="1" applyAlignment="1">
      <alignment horizontal="center" vertical="center" wrapText="1"/>
    </xf>
    <xf numFmtId="9" fontId="13" fillId="8" borderId="1" xfId="0" applyNumberFormat="1" applyFont="1" applyFill="1" applyBorder="1" applyAlignment="1">
      <alignment horizontal="center" vertical="center" wrapText="1"/>
    </xf>
    <xf numFmtId="0" fontId="13" fillId="8"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9" fontId="15" fillId="0" borderId="1" xfId="0" applyNumberFormat="1" applyFont="1" applyFill="1" applyBorder="1" applyAlignment="1">
      <alignment horizontal="center" vertical="center" wrapText="1"/>
    </xf>
    <xf numFmtId="9" fontId="39" fillId="9" borderId="1" xfId="0" applyNumberFormat="1" applyFont="1" applyFill="1" applyBorder="1" applyAlignment="1">
      <alignment horizontal="center" vertical="center" wrapText="1"/>
    </xf>
    <xf numFmtId="9" fontId="15" fillId="0" borderId="1" xfId="0" applyNumberFormat="1" applyFont="1" applyFill="1" applyBorder="1" applyAlignment="1">
      <alignment horizontal="justify" vertical="center" wrapText="1"/>
    </xf>
    <xf numFmtId="9" fontId="15" fillId="0" borderId="1" xfId="1" applyFont="1" applyFill="1" applyBorder="1" applyAlignment="1">
      <alignment horizontal="center" vertical="center" wrapText="1"/>
    </xf>
    <xf numFmtId="9" fontId="15" fillId="8" borderId="1"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9" fontId="15" fillId="8" borderId="1" xfId="1" applyFont="1" applyFill="1" applyBorder="1" applyAlignment="1">
      <alignment horizontal="center" vertical="center" wrapText="1"/>
    </xf>
    <xf numFmtId="9" fontId="13" fillId="0" borderId="9" xfId="1" applyFont="1" applyFill="1" applyBorder="1" applyAlignment="1">
      <alignment horizontal="justify" vertical="center" wrapText="1"/>
    </xf>
    <xf numFmtId="9" fontId="13" fillId="0" borderId="10" xfId="1" applyFont="1" applyFill="1" applyBorder="1" applyAlignment="1">
      <alignment horizontal="justify" vertical="center" wrapText="1"/>
    </xf>
    <xf numFmtId="9" fontId="13" fillId="0" borderId="9" xfId="1" applyFont="1" applyFill="1" applyBorder="1" applyAlignment="1">
      <alignment horizontal="center" vertical="center" wrapText="1"/>
    </xf>
    <xf numFmtId="9" fontId="13" fillId="0" borderId="10" xfId="1" applyFont="1" applyFill="1" applyBorder="1" applyAlignment="1">
      <alignment horizontal="center" vertical="center" wrapText="1"/>
    </xf>
    <xf numFmtId="9" fontId="13" fillId="0" borderId="1" xfId="1" applyFont="1" applyFill="1" applyBorder="1" applyAlignment="1">
      <alignment horizontal="center" vertical="center" wrapText="1"/>
    </xf>
    <xf numFmtId="9" fontId="13" fillId="8" borderId="9" xfId="1" applyFont="1" applyFill="1" applyBorder="1" applyAlignment="1">
      <alignment horizontal="center" vertical="center" wrapText="1"/>
    </xf>
    <xf numFmtId="9" fontId="13" fillId="8" borderId="10" xfId="1" applyFont="1" applyFill="1" applyBorder="1" applyAlignment="1">
      <alignment horizontal="center" vertical="center" wrapText="1"/>
    </xf>
    <xf numFmtId="9" fontId="13" fillId="8" borderId="1" xfId="1" applyFont="1" applyFill="1" applyBorder="1" applyAlignment="1">
      <alignment horizontal="center" vertical="center" wrapText="1"/>
    </xf>
    <xf numFmtId="164" fontId="15" fillId="0" borderId="13" xfId="0" applyNumberFormat="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9" fontId="15" fillId="8" borderId="9" xfId="0" applyNumberFormat="1" applyFont="1" applyFill="1" applyBorder="1" applyAlignment="1">
      <alignment horizontal="center" vertical="center" wrapText="1"/>
    </xf>
    <xf numFmtId="9" fontId="15" fillId="8" borderId="10" xfId="0" applyNumberFormat="1" applyFont="1" applyFill="1" applyBorder="1" applyAlignment="1">
      <alignment horizontal="center" vertical="center" wrapText="1"/>
    </xf>
    <xf numFmtId="9" fontId="15" fillId="8" borderId="13" xfId="0" applyNumberFormat="1" applyFont="1" applyFill="1" applyBorder="1" applyAlignment="1">
      <alignment horizontal="center" vertical="center" wrapText="1"/>
    </xf>
    <xf numFmtId="0" fontId="11" fillId="2" borderId="1" xfId="2" applyFont="1" applyFill="1" applyBorder="1" applyAlignment="1">
      <alignment horizontal="center" vertical="center" wrapText="1"/>
    </xf>
    <xf numFmtId="9" fontId="16" fillId="10" borderId="1" xfId="0" applyNumberFormat="1" applyFont="1" applyFill="1" applyBorder="1" applyAlignment="1">
      <alignment horizontal="center" vertical="center" wrapText="1"/>
    </xf>
    <xf numFmtId="164" fontId="16" fillId="10" borderId="1" xfId="0" applyNumberFormat="1" applyFont="1" applyFill="1" applyBorder="1" applyAlignment="1">
      <alignment horizontal="center" vertical="center" wrapText="1"/>
    </xf>
    <xf numFmtId="10" fontId="16" fillId="10" borderId="1" xfId="0" applyNumberFormat="1" applyFont="1" applyFill="1" applyBorder="1" applyAlignment="1">
      <alignment horizontal="center" vertical="center" wrapText="1"/>
    </xf>
    <xf numFmtId="9" fontId="20" fillId="10" borderId="1" xfId="0" applyNumberFormat="1" applyFont="1" applyFill="1" applyBorder="1" applyAlignment="1">
      <alignment horizontal="center" vertical="center" wrapText="1"/>
    </xf>
    <xf numFmtId="164" fontId="20" fillId="10" borderId="1" xfId="0" applyNumberFormat="1" applyFont="1" applyFill="1" applyBorder="1" applyAlignment="1">
      <alignment horizontal="center" vertical="center" wrapText="1"/>
    </xf>
    <xf numFmtId="165" fontId="16" fillId="10" borderId="1" xfId="0" applyNumberFormat="1" applyFont="1" applyFill="1" applyBorder="1" applyAlignment="1">
      <alignment horizontal="center" vertical="center" wrapText="1"/>
    </xf>
    <xf numFmtId="0" fontId="34" fillId="10" borderId="1" xfId="0" applyFont="1" applyFill="1" applyBorder="1" applyAlignment="1">
      <alignment horizontal="center" vertical="center" wrapText="1"/>
    </xf>
    <xf numFmtId="9" fontId="34" fillId="10" borderId="1" xfId="0" applyNumberFormat="1" applyFont="1" applyFill="1" applyBorder="1" applyAlignment="1">
      <alignment horizontal="center" vertical="center" wrapText="1"/>
    </xf>
    <xf numFmtId="0" fontId="16" fillId="10" borderId="1" xfId="0" applyFont="1" applyFill="1" applyBorder="1" applyAlignment="1">
      <alignment horizontal="center" vertical="center" wrapText="1"/>
    </xf>
    <xf numFmtId="9" fontId="16" fillId="10" borderId="1" xfId="1" applyFont="1" applyFill="1" applyBorder="1" applyAlignment="1">
      <alignment horizontal="center" vertical="center" wrapText="1"/>
    </xf>
    <xf numFmtId="9" fontId="16" fillId="10" borderId="1" xfId="4" applyFont="1" applyFill="1" applyBorder="1" applyAlignment="1">
      <alignment horizontal="center" vertical="center" wrapText="1"/>
    </xf>
    <xf numFmtId="1" fontId="16" fillId="10" borderId="1" xfId="0" applyNumberFormat="1" applyFont="1" applyFill="1" applyBorder="1" applyAlignment="1">
      <alignment horizontal="center" vertical="center" wrapText="1"/>
    </xf>
    <xf numFmtId="0" fontId="32" fillId="0" borderId="0" xfId="0" applyFont="1" applyFill="1" applyAlignment="1">
      <alignment horizontal="center" vertical="center"/>
    </xf>
    <xf numFmtId="164" fontId="11" fillId="3"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cellXfs>
  <cellStyles count="5">
    <cellStyle name="Hipervínculo" xfId="3" builtinId="8"/>
    <cellStyle name="Normal" xfId="0" builtinId="0"/>
    <cellStyle name="Normal 2" xfId="2"/>
    <cellStyle name="Porcentaje" xfId="1"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iauhospitallapalma@gmail.com" TargetMode="External"/><Relationship Id="rId13" Type="http://schemas.openxmlformats.org/officeDocument/2006/relationships/hyperlink" Target="mailto:subgerencia@hospital-lapalma.gov.co" TargetMode="External"/><Relationship Id="rId18" Type="http://schemas.openxmlformats.org/officeDocument/2006/relationships/hyperlink" Target="mailto:sistemas@esehospital-lapalma.gov.co" TargetMode="External"/><Relationship Id="rId3" Type="http://schemas.openxmlformats.org/officeDocument/2006/relationships/hyperlink" Target="mailto:calidad@esehospital-lapalma.gov.co" TargetMode="External"/><Relationship Id="rId21" Type="http://schemas.openxmlformats.org/officeDocument/2006/relationships/comments" Target="../comments1.xml"/><Relationship Id="rId7" Type="http://schemas.openxmlformats.org/officeDocument/2006/relationships/hyperlink" Target="mailto:calidad@esehospital-lapalma.gov.co" TargetMode="External"/><Relationship Id="rId12" Type="http://schemas.openxmlformats.org/officeDocument/2006/relationships/hyperlink" Target="mailto:cartera@esehospital-lapalma.gov.co" TargetMode="External"/><Relationship Id="rId17" Type="http://schemas.openxmlformats.org/officeDocument/2006/relationships/hyperlink" Target="mailto:sistemas@esehospital-lapalma.gov.co" TargetMode="External"/><Relationship Id="rId2" Type="http://schemas.openxmlformats.org/officeDocument/2006/relationships/hyperlink" Target="mailto:cortes.ussa@gmail.com" TargetMode="External"/><Relationship Id="rId16" Type="http://schemas.openxmlformats.org/officeDocument/2006/relationships/hyperlink" Target="mailto:sistemas@esehospital-lapalma.gov.co" TargetMode="External"/><Relationship Id="rId20" Type="http://schemas.openxmlformats.org/officeDocument/2006/relationships/vmlDrawing" Target="../drawings/vmlDrawing1.vml"/><Relationship Id="rId1" Type="http://schemas.openxmlformats.org/officeDocument/2006/relationships/hyperlink" Target="mailto:coordinacioniamihlapalma@gmail.com" TargetMode="External"/><Relationship Id="rId6" Type="http://schemas.openxmlformats.org/officeDocument/2006/relationships/hyperlink" Target="mailto:subgerencia@esehospital-lapalma.gov.co" TargetMode="External"/><Relationship Id="rId11" Type="http://schemas.openxmlformats.org/officeDocument/2006/relationships/hyperlink" Target="mailto:enfermeria@esehospital-lapalma.gov.c" TargetMode="External"/><Relationship Id="rId5" Type="http://schemas.openxmlformats.org/officeDocument/2006/relationships/hyperlink" Target="mailto:calidad@esehospital-lapalma.gov.co" TargetMode="External"/><Relationship Id="rId15" Type="http://schemas.openxmlformats.org/officeDocument/2006/relationships/hyperlink" Target="mailto:sistemas@esehospital-lapalma.gov.co" TargetMode="External"/><Relationship Id="rId10" Type="http://schemas.openxmlformats.org/officeDocument/2006/relationships/hyperlink" Target="mailto:siauhospitallapalma@gmail.com" TargetMode="External"/><Relationship Id="rId19" Type="http://schemas.openxmlformats.org/officeDocument/2006/relationships/printerSettings" Target="../printerSettings/printerSettings1.bin"/><Relationship Id="rId4" Type="http://schemas.openxmlformats.org/officeDocument/2006/relationships/hyperlink" Target="mailto:calidad@esehospital-lapalma.gov.co" TargetMode="External"/><Relationship Id="rId9" Type="http://schemas.openxmlformats.org/officeDocument/2006/relationships/hyperlink" Target="mailto:siauhospitallapalma@gmail.com" TargetMode="External"/><Relationship Id="rId14" Type="http://schemas.openxmlformats.org/officeDocument/2006/relationships/hyperlink" Target="mailto:sistemas@esehospital-lapalm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91"/>
  <sheetViews>
    <sheetView tabSelected="1" topLeftCell="F1" zoomScale="85" zoomScaleNormal="85" workbookViewId="0">
      <pane ySplit="14" topLeftCell="A15" activePane="bottomLeft" state="frozen"/>
      <selection pane="bottomLeft" activeCell="N15" sqref="N15:N73"/>
    </sheetView>
  </sheetViews>
  <sheetFormatPr baseColWidth="10" defaultRowHeight="18.75" x14ac:dyDescent="0.3"/>
  <cols>
    <col min="1" max="1" width="5.85546875" customWidth="1"/>
    <col min="2" max="2" width="7.7109375" hidden="1" customWidth="1"/>
    <col min="3" max="4" width="2.140625" style="5" customWidth="1"/>
    <col min="5" max="5" width="3.85546875" style="84" customWidth="1"/>
    <col min="6" max="6" width="10.85546875" customWidth="1"/>
    <col min="7" max="7" width="8.42578125" customWidth="1"/>
    <col min="8" max="8" width="10.42578125" customWidth="1"/>
    <col min="9" max="9" width="3.42578125" style="5" customWidth="1"/>
    <col min="10" max="10" width="7.5703125" style="6" customWidth="1"/>
    <col min="11" max="11" width="5.7109375" style="6" customWidth="1"/>
    <col min="12" max="12" width="6.7109375" style="163" customWidth="1"/>
    <col min="13" max="13" width="8.85546875" style="6" customWidth="1"/>
    <col min="14" max="14" width="6.85546875" style="6" customWidth="1"/>
    <col min="15" max="15" width="13.85546875" style="7" customWidth="1"/>
    <col min="16" max="16" width="16.5703125" style="7" customWidth="1"/>
    <col min="17" max="17" width="3.28515625" customWidth="1"/>
    <col min="18" max="18" width="16" style="7" customWidth="1"/>
    <col min="19" max="19" width="9.140625" customWidth="1"/>
    <col min="20" max="20" width="21.85546875" style="159" customWidth="1"/>
    <col min="21" max="21" width="5.140625" style="5" customWidth="1"/>
    <col min="22" max="22" width="7.140625" customWidth="1"/>
    <col min="23" max="23" width="5.28515625" customWidth="1"/>
    <col min="24" max="24" width="6.140625" style="116" customWidth="1"/>
    <col min="25" max="25" width="6.85546875" style="124" customWidth="1"/>
    <col min="26" max="26" width="6" style="124" customWidth="1"/>
    <col min="27" max="28" width="6.7109375" style="125" customWidth="1"/>
    <col min="29" max="29" width="6.5703125" style="126" customWidth="1"/>
    <col min="30" max="30" width="7" style="138" customWidth="1"/>
    <col min="31" max="31" width="7.42578125" style="126" customWidth="1"/>
    <col min="32" max="32" width="11.42578125" customWidth="1"/>
    <col min="33" max="33" width="11.42578125" style="91" customWidth="1"/>
  </cols>
  <sheetData>
    <row r="1" spans="1:44" s="4" customFormat="1" ht="12" customHeight="1" x14ac:dyDescent="0.25">
      <c r="A1" s="1"/>
      <c r="B1" s="1"/>
      <c r="C1" s="2"/>
      <c r="D1" s="204" t="s">
        <v>0</v>
      </c>
      <c r="E1" s="204"/>
      <c r="F1" s="204"/>
      <c r="G1" s="204"/>
      <c r="H1" s="204"/>
      <c r="I1" s="204"/>
      <c r="J1" s="204"/>
      <c r="K1" s="204"/>
      <c r="L1" s="204"/>
      <c r="M1" s="204"/>
      <c r="N1" s="204"/>
      <c r="O1" s="204"/>
      <c r="P1" s="204"/>
      <c r="Q1" s="204"/>
      <c r="R1" s="204"/>
      <c r="S1" s="204"/>
      <c r="T1" s="204"/>
      <c r="U1" s="204"/>
      <c r="V1" s="204"/>
      <c r="W1" s="204"/>
      <c r="X1" s="204"/>
      <c r="Y1" s="204"/>
      <c r="Z1" s="204"/>
      <c r="AA1" s="121"/>
      <c r="AB1" s="121"/>
      <c r="AC1" s="122"/>
      <c r="AD1" s="137"/>
      <c r="AE1" s="122"/>
      <c r="AF1" s="3"/>
      <c r="AG1" s="90"/>
      <c r="AH1" s="3"/>
      <c r="AI1" s="3"/>
      <c r="AJ1" s="3"/>
      <c r="AK1" s="3"/>
      <c r="AL1" s="3"/>
      <c r="AM1" s="3"/>
      <c r="AN1" s="3"/>
      <c r="AO1" s="3"/>
      <c r="AP1" s="3"/>
    </row>
    <row r="2" spans="1:44" s="4" customFormat="1" ht="12" customHeight="1" x14ac:dyDescent="0.25">
      <c r="A2" s="1"/>
      <c r="B2" s="1"/>
      <c r="C2" s="2"/>
      <c r="D2" s="204" t="s">
        <v>1</v>
      </c>
      <c r="E2" s="204"/>
      <c r="F2" s="204"/>
      <c r="G2" s="204"/>
      <c r="H2" s="204"/>
      <c r="I2" s="204"/>
      <c r="J2" s="204"/>
      <c r="K2" s="204"/>
      <c r="L2" s="204"/>
      <c r="M2" s="204"/>
      <c r="N2" s="204"/>
      <c r="O2" s="204"/>
      <c r="P2" s="204"/>
      <c r="Q2" s="204"/>
      <c r="R2" s="204"/>
      <c r="S2" s="204"/>
      <c r="T2" s="204"/>
      <c r="U2" s="204"/>
      <c r="V2" s="204"/>
      <c r="W2" s="204"/>
      <c r="X2" s="204"/>
      <c r="Y2" s="204"/>
      <c r="Z2" s="204"/>
      <c r="AA2" s="121"/>
      <c r="AB2" s="121"/>
      <c r="AC2" s="122"/>
      <c r="AD2" s="137"/>
      <c r="AE2" s="122"/>
      <c r="AF2" s="3"/>
      <c r="AG2" s="90"/>
      <c r="AH2" s="3"/>
      <c r="AI2" s="3"/>
      <c r="AJ2" s="3"/>
      <c r="AK2" s="3"/>
      <c r="AL2" s="3"/>
      <c r="AM2" s="3"/>
      <c r="AN2" s="3"/>
      <c r="AO2" s="3"/>
      <c r="AP2" s="3"/>
    </row>
    <row r="3" spans="1:44" s="4" customFormat="1" ht="12" customHeight="1" x14ac:dyDescent="0.25">
      <c r="A3" s="1"/>
      <c r="B3" s="1"/>
      <c r="C3" s="2"/>
      <c r="D3" s="204" t="s">
        <v>2</v>
      </c>
      <c r="E3" s="204"/>
      <c r="F3" s="204"/>
      <c r="G3" s="204"/>
      <c r="H3" s="204"/>
      <c r="I3" s="204"/>
      <c r="J3" s="204"/>
      <c r="K3" s="204"/>
      <c r="L3" s="204"/>
      <c r="M3" s="204"/>
      <c r="N3" s="204"/>
      <c r="O3" s="204"/>
      <c r="P3" s="204"/>
      <c r="Q3" s="204"/>
      <c r="R3" s="204"/>
      <c r="S3" s="204"/>
      <c r="T3" s="204"/>
      <c r="U3" s="204"/>
      <c r="V3" s="204"/>
      <c r="W3" s="204"/>
      <c r="X3" s="204"/>
      <c r="Y3" s="204"/>
      <c r="Z3" s="204"/>
      <c r="AA3" s="121"/>
      <c r="AB3" s="121"/>
      <c r="AC3" s="122"/>
      <c r="AD3" s="137"/>
      <c r="AE3" s="122"/>
      <c r="AF3" s="3"/>
      <c r="AG3" s="90"/>
      <c r="AH3" s="3"/>
      <c r="AI3" s="3"/>
      <c r="AJ3" s="3"/>
      <c r="AK3" s="3"/>
      <c r="AL3" s="3"/>
      <c r="AM3" s="3"/>
      <c r="AN3" s="3"/>
      <c r="AO3" s="3"/>
      <c r="AP3" s="3"/>
    </row>
    <row r="4" spans="1:44" s="4" customFormat="1" ht="12" customHeight="1" x14ac:dyDescent="0.25">
      <c r="A4" s="1"/>
      <c r="B4" s="1"/>
      <c r="C4" s="2"/>
      <c r="D4" s="205" t="s">
        <v>3</v>
      </c>
      <c r="E4" s="205"/>
      <c r="F4" s="205"/>
      <c r="G4" s="205"/>
      <c r="H4" s="205"/>
      <c r="I4" s="205"/>
      <c r="J4" s="205"/>
      <c r="K4" s="205"/>
      <c r="L4" s="205"/>
      <c r="M4" s="205"/>
      <c r="N4" s="205"/>
      <c r="O4" s="205"/>
      <c r="P4" s="205"/>
      <c r="Q4" s="205"/>
      <c r="R4" s="205"/>
      <c r="S4" s="205"/>
      <c r="T4" s="205"/>
      <c r="U4" s="205"/>
      <c r="V4" s="205"/>
      <c r="W4" s="205"/>
      <c r="X4" s="205"/>
      <c r="Y4" s="205"/>
      <c r="Z4" s="205"/>
      <c r="AA4" s="123"/>
      <c r="AB4" s="123"/>
      <c r="AC4" s="122"/>
      <c r="AD4" s="137"/>
      <c r="AE4" s="122"/>
      <c r="AF4" s="3"/>
      <c r="AG4" s="90"/>
      <c r="AH4" s="3"/>
      <c r="AI4" s="3"/>
      <c r="AJ4" s="3"/>
      <c r="AK4" s="3"/>
      <c r="AL4" s="3"/>
      <c r="AM4" s="3"/>
      <c r="AN4" s="3"/>
      <c r="AO4" s="3"/>
      <c r="AP4" s="3"/>
    </row>
    <row r="5" spans="1:44" hidden="1" x14ac:dyDescent="0.3"/>
    <row r="6" spans="1:44" s="4" customFormat="1" ht="14.25" hidden="1" customHeight="1" x14ac:dyDescent="0.25">
      <c r="C6" s="8"/>
      <c r="D6" s="206" t="s">
        <v>4</v>
      </c>
      <c r="E6" s="207"/>
      <c r="F6" s="207"/>
      <c r="G6" s="207"/>
      <c r="H6" s="207"/>
      <c r="I6" s="207"/>
      <c r="J6" s="207"/>
      <c r="K6" s="207"/>
      <c r="L6" s="207"/>
      <c r="M6" s="207"/>
      <c r="N6" s="207"/>
      <c r="O6" s="207"/>
      <c r="P6" s="207"/>
      <c r="Q6" s="207"/>
      <c r="R6" s="207"/>
      <c r="S6" s="207"/>
      <c r="T6" s="207"/>
      <c r="U6" s="207"/>
      <c r="V6" s="207"/>
      <c r="W6" s="207"/>
      <c r="X6" s="207"/>
      <c r="Y6" s="207"/>
      <c r="Z6" s="208"/>
      <c r="AA6" s="121"/>
      <c r="AB6" s="121"/>
      <c r="AC6" s="122"/>
      <c r="AD6" s="137"/>
      <c r="AE6" s="122"/>
      <c r="AF6" s="3"/>
      <c r="AG6" s="90"/>
      <c r="AH6" s="3"/>
      <c r="AI6" s="3"/>
      <c r="AJ6" s="3"/>
      <c r="AK6" s="3"/>
      <c r="AL6" s="3"/>
      <c r="AM6" s="3"/>
      <c r="AN6" s="3"/>
      <c r="AO6" s="3"/>
      <c r="AP6" s="3"/>
    </row>
    <row r="7" spans="1:44" s="4" customFormat="1" ht="14.25" hidden="1" customHeight="1" x14ac:dyDescent="0.25">
      <c r="C7" s="8"/>
      <c r="D7" s="206" t="s">
        <v>5</v>
      </c>
      <c r="E7" s="207"/>
      <c r="F7" s="207"/>
      <c r="G7" s="207"/>
      <c r="H7" s="207"/>
      <c r="I7" s="207"/>
      <c r="J7" s="207"/>
      <c r="K7" s="207"/>
      <c r="L7" s="207"/>
      <c r="M7" s="207"/>
      <c r="N7" s="207"/>
      <c r="O7" s="207"/>
      <c r="P7" s="207"/>
      <c r="Q7" s="207"/>
      <c r="R7" s="207"/>
      <c r="S7" s="207"/>
      <c r="T7" s="207"/>
      <c r="U7" s="207"/>
      <c r="V7" s="207"/>
      <c r="W7" s="207"/>
      <c r="X7" s="207"/>
      <c r="Y7" s="207"/>
      <c r="Z7" s="208"/>
      <c r="AA7" s="121"/>
      <c r="AB7" s="121"/>
      <c r="AC7" s="122"/>
      <c r="AD7" s="137"/>
      <c r="AE7" s="122"/>
      <c r="AF7" s="3"/>
      <c r="AG7" s="90"/>
      <c r="AH7" s="3"/>
      <c r="AI7" s="3"/>
      <c r="AJ7" s="3"/>
      <c r="AK7" s="3"/>
      <c r="AL7" s="3"/>
      <c r="AM7" s="3"/>
      <c r="AN7" s="3"/>
      <c r="AO7" s="3"/>
      <c r="AP7" s="3"/>
    </row>
    <row r="8" spans="1:44" s="4" customFormat="1" ht="14.25" hidden="1" customHeight="1" x14ac:dyDescent="0.25">
      <c r="C8" s="8"/>
      <c r="D8" s="210" t="s">
        <v>382</v>
      </c>
      <c r="E8" s="211"/>
      <c r="F8" s="207"/>
      <c r="G8" s="207"/>
      <c r="H8" s="207"/>
      <c r="I8" s="207"/>
      <c r="J8" s="207"/>
      <c r="K8" s="207"/>
      <c r="L8" s="207"/>
      <c r="M8" s="207"/>
      <c r="N8" s="207"/>
      <c r="O8" s="207"/>
      <c r="P8" s="207"/>
      <c r="Q8" s="207"/>
      <c r="R8" s="207"/>
      <c r="S8" s="207"/>
      <c r="T8" s="207"/>
      <c r="U8" s="207"/>
      <c r="V8" s="207"/>
      <c r="W8" s="207"/>
      <c r="X8" s="207"/>
      <c r="Y8" s="207"/>
      <c r="Z8" s="208"/>
      <c r="AA8" s="121"/>
      <c r="AB8" s="121"/>
      <c r="AC8" s="122"/>
      <c r="AD8" s="137"/>
      <c r="AE8" s="122"/>
      <c r="AF8" s="3"/>
      <c r="AG8" s="90"/>
      <c r="AH8" s="3"/>
      <c r="AI8" s="3"/>
      <c r="AJ8" s="3"/>
      <c r="AK8" s="3"/>
      <c r="AL8" s="3"/>
      <c r="AM8" s="3"/>
      <c r="AN8" s="3"/>
      <c r="AO8" s="3"/>
      <c r="AP8" s="3"/>
    </row>
    <row r="9" spans="1:44" s="4" customFormat="1" ht="14.25" hidden="1" customHeight="1" x14ac:dyDescent="0.25">
      <c r="C9" s="8"/>
      <c r="D9" s="210" t="s">
        <v>6</v>
      </c>
      <c r="E9" s="211"/>
      <c r="F9" s="207"/>
      <c r="G9" s="207"/>
      <c r="H9" s="207"/>
      <c r="I9" s="207"/>
      <c r="J9" s="207"/>
      <c r="K9" s="207"/>
      <c r="L9" s="207"/>
      <c r="M9" s="207"/>
      <c r="N9" s="207"/>
      <c r="O9" s="207"/>
      <c r="P9" s="207"/>
      <c r="Q9" s="207"/>
      <c r="R9" s="207"/>
      <c r="S9" s="207"/>
      <c r="T9" s="207"/>
      <c r="U9" s="207"/>
      <c r="V9" s="207"/>
      <c r="W9" s="207"/>
      <c r="X9" s="207"/>
      <c r="Y9" s="207"/>
      <c r="Z9" s="208"/>
      <c r="AA9" s="121"/>
      <c r="AB9" s="121"/>
      <c r="AC9" s="122"/>
      <c r="AD9" s="137"/>
      <c r="AE9" s="122"/>
      <c r="AF9" s="3"/>
      <c r="AG9" s="90"/>
      <c r="AH9" s="3"/>
      <c r="AI9" s="3"/>
      <c r="AJ9" s="3"/>
      <c r="AK9" s="3"/>
      <c r="AL9" s="3"/>
      <c r="AM9" s="3"/>
      <c r="AN9" s="3"/>
      <c r="AO9" s="3"/>
      <c r="AP9" s="3"/>
    </row>
    <row r="10" spans="1:44" ht="12" customHeight="1" x14ac:dyDescent="0.25">
      <c r="A10" s="9"/>
      <c r="B10" s="7"/>
      <c r="C10" s="10"/>
      <c r="D10" s="11"/>
      <c r="E10" s="12"/>
      <c r="F10" s="12"/>
      <c r="G10" s="13"/>
      <c r="H10" s="14"/>
      <c r="I10" s="15"/>
      <c r="J10" s="14"/>
      <c r="K10" s="14"/>
      <c r="L10" s="162"/>
      <c r="M10" s="14"/>
      <c r="N10" s="14"/>
      <c r="O10" s="17"/>
      <c r="P10" s="17"/>
      <c r="Q10" s="16"/>
      <c r="R10" s="17"/>
      <c r="S10" s="16"/>
      <c r="T10" s="17"/>
      <c r="U10" s="187"/>
      <c r="V10" s="16"/>
      <c r="W10" s="16"/>
      <c r="X10" s="18"/>
      <c r="Y10" s="16"/>
      <c r="Z10" s="16"/>
      <c r="AA10" s="16"/>
      <c r="AB10" s="16"/>
      <c r="AC10" s="127"/>
      <c r="AD10" s="139"/>
      <c r="AE10" s="122"/>
      <c r="AF10" s="19"/>
      <c r="AH10" s="19"/>
      <c r="AI10" s="19"/>
      <c r="AJ10" s="19"/>
      <c r="AK10" s="19"/>
      <c r="AL10" s="19"/>
      <c r="AM10" s="19"/>
      <c r="AN10" s="19"/>
      <c r="AO10" s="19"/>
      <c r="AP10" s="19"/>
      <c r="AQ10" s="19"/>
      <c r="AR10" s="19"/>
    </row>
    <row r="11" spans="1:44" s="22" customFormat="1" ht="15.75" customHeight="1" x14ac:dyDescent="0.25">
      <c r="A11" s="212"/>
      <c r="B11" s="212"/>
      <c r="C11" s="212"/>
      <c r="D11" s="212"/>
      <c r="E11" s="20"/>
      <c r="F11" s="212"/>
      <c r="G11" s="212"/>
      <c r="H11" s="212"/>
      <c r="I11" s="212"/>
      <c r="J11" s="212"/>
      <c r="K11" s="212"/>
      <c r="L11" s="212"/>
      <c r="M11" s="212"/>
      <c r="N11" s="212"/>
      <c r="O11" s="212"/>
      <c r="P11" s="212"/>
      <c r="Q11" s="212"/>
      <c r="R11" s="212"/>
      <c r="S11" s="212"/>
      <c r="T11" s="212"/>
      <c r="U11" s="212"/>
      <c r="V11" s="212"/>
      <c r="W11" s="212"/>
      <c r="X11" s="212"/>
      <c r="Y11" s="212"/>
      <c r="Z11" s="212"/>
      <c r="AA11" s="21"/>
      <c r="AB11" s="21"/>
      <c r="AC11" s="21"/>
      <c r="AD11" s="140"/>
      <c r="AE11" s="21"/>
      <c r="AF11" s="20"/>
      <c r="AG11" s="92"/>
    </row>
    <row r="12" spans="1:44" s="23" customFormat="1" ht="15" customHeight="1" x14ac:dyDescent="0.2">
      <c r="A12" s="213" t="s">
        <v>7</v>
      </c>
      <c r="B12" s="214" t="s">
        <v>8</v>
      </c>
      <c r="C12" s="257" t="s">
        <v>9</v>
      </c>
      <c r="D12" s="258"/>
      <c r="E12" s="237" t="s">
        <v>10</v>
      </c>
      <c r="F12" s="224" t="s">
        <v>11</v>
      </c>
      <c r="G12" s="251" t="s">
        <v>12</v>
      </c>
      <c r="H12" s="251"/>
      <c r="I12" s="251"/>
      <c r="J12" s="251"/>
      <c r="K12" s="251"/>
      <c r="L12" s="224" t="s">
        <v>13</v>
      </c>
      <c r="M12" s="224" t="s">
        <v>14</v>
      </c>
      <c r="N12" s="246" t="s">
        <v>272</v>
      </c>
      <c r="O12" s="209" t="s">
        <v>273</v>
      </c>
      <c r="P12" s="246" t="s">
        <v>274</v>
      </c>
      <c r="Q12" s="241" t="s">
        <v>15</v>
      </c>
      <c r="R12" s="223" t="s">
        <v>16</v>
      </c>
      <c r="S12" s="224" t="s">
        <v>17</v>
      </c>
      <c r="T12" s="224"/>
      <c r="U12" s="224"/>
      <c r="V12" s="224"/>
      <c r="W12" s="224"/>
      <c r="X12" s="209" t="s">
        <v>18</v>
      </c>
      <c r="Y12" s="245" t="s">
        <v>390</v>
      </c>
      <c r="Z12" s="244" t="s">
        <v>375</v>
      </c>
      <c r="AA12" s="245" t="s">
        <v>391</v>
      </c>
      <c r="AB12" s="244" t="s">
        <v>392</v>
      </c>
      <c r="AC12" s="245" t="s">
        <v>393</v>
      </c>
      <c r="AD12" s="300" t="s">
        <v>394</v>
      </c>
      <c r="AE12" s="245" t="s">
        <v>275</v>
      </c>
      <c r="AF12" s="240" t="s">
        <v>19</v>
      </c>
      <c r="AG12" s="240" t="s">
        <v>20</v>
      </c>
    </row>
    <row r="13" spans="1:44" s="23" customFormat="1" ht="15" customHeight="1" x14ac:dyDescent="0.2">
      <c r="A13" s="213"/>
      <c r="B13" s="214"/>
      <c r="C13" s="259"/>
      <c r="D13" s="260"/>
      <c r="E13" s="238"/>
      <c r="F13" s="224"/>
      <c r="G13" s="224" t="s">
        <v>21</v>
      </c>
      <c r="H13" s="224" t="s">
        <v>22</v>
      </c>
      <c r="I13" s="241" t="s">
        <v>23</v>
      </c>
      <c r="J13" s="224" t="s">
        <v>24</v>
      </c>
      <c r="K13" s="224"/>
      <c r="L13" s="224"/>
      <c r="M13" s="224"/>
      <c r="N13" s="247"/>
      <c r="O13" s="209"/>
      <c r="P13" s="247"/>
      <c r="Q13" s="241"/>
      <c r="R13" s="223"/>
      <c r="S13" s="224" t="s">
        <v>21</v>
      </c>
      <c r="T13" s="242" t="s">
        <v>22</v>
      </c>
      <c r="U13" s="241" t="s">
        <v>23</v>
      </c>
      <c r="V13" s="243" t="s">
        <v>25</v>
      </c>
      <c r="W13" s="243"/>
      <c r="X13" s="209"/>
      <c r="Y13" s="245"/>
      <c r="Z13" s="244"/>
      <c r="AA13" s="245"/>
      <c r="AB13" s="244"/>
      <c r="AC13" s="245"/>
      <c r="AD13" s="300"/>
      <c r="AE13" s="245"/>
      <c r="AF13" s="240"/>
      <c r="AG13" s="240"/>
    </row>
    <row r="14" spans="1:44" s="23" customFormat="1" ht="43.5" customHeight="1" x14ac:dyDescent="0.2">
      <c r="A14" s="213"/>
      <c r="B14" s="214"/>
      <c r="C14" s="261"/>
      <c r="D14" s="262"/>
      <c r="E14" s="239"/>
      <c r="F14" s="224"/>
      <c r="G14" s="224"/>
      <c r="H14" s="224"/>
      <c r="I14" s="241"/>
      <c r="J14" s="186" t="s">
        <v>26</v>
      </c>
      <c r="K14" s="186" t="s">
        <v>27</v>
      </c>
      <c r="L14" s="224"/>
      <c r="M14" s="224"/>
      <c r="N14" s="248"/>
      <c r="O14" s="209"/>
      <c r="P14" s="248"/>
      <c r="Q14" s="241"/>
      <c r="R14" s="223"/>
      <c r="S14" s="224"/>
      <c r="T14" s="242"/>
      <c r="U14" s="241"/>
      <c r="V14" s="186" t="s">
        <v>28</v>
      </c>
      <c r="W14" s="186" t="s">
        <v>27</v>
      </c>
      <c r="X14" s="209"/>
      <c r="Y14" s="245"/>
      <c r="Z14" s="244"/>
      <c r="AA14" s="245"/>
      <c r="AB14" s="244"/>
      <c r="AC14" s="245"/>
      <c r="AD14" s="300"/>
      <c r="AE14" s="245"/>
      <c r="AF14" s="240"/>
      <c r="AG14" s="240"/>
    </row>
    <row r="15" spans="1:44" s="31" customFormat="1" ht="147.75" customHeight="1" x14ac:dyDescent="0.2">
      <c r="A15" s="24" t="s">
        <v>29</v>
      </c>
      <c r="B15" s="24" t="s">
        <v>30</v>
      </c>
      <c r="C15" s="235" t="s">
        <v>31</v>
      </c>
      <c r="D15" s="252"/>
      <c r="E15" s="41">
        <v>1</v>
      </c>
      <c r="F15" s="177" t="s">
        <v>310</v>
      </c>
      <c r="G15" s="99" t="s">
        <v>32</v>
      </c>
      <c r="H15" s="99" t="s">
        <v>33</v>
      </c>
      <c r="I15" s="98" t="s">
        <v>34</v>
      </c>
      <c r="J15" s="24">
        <v>0</v>
      </c>
      <c r="K15" s="24">
        <v>2016</v>
      </c>
      <c r="L15" s="169">
        <v>0.85</v>
      </c>
      <c r="M15" s="196">
        <f>18/19</f>
        <v>0.94736842105263153</v>
      </c>
      <c r="N15" s="172">
        <v>1</v>
      </c>
      <c r="O15" s="53" t="s">
        <v>328</v>
      </c>
      <c r="P15" s="53" t="s">
        <v>325</v>
      </c>
      <c r="Q15" s="24">
        <v>1</v>
      </c>
      <c r="R15" s="179" t="s">
        <v>280</v>
      </c>
      <c r="S15" s="24" t="s">
        <v>32</v>
      </c>
      <c r="T15" s="47" t="s">
        <v>33</v>
      </c>
      <c r="U15" s="182" t="s">
        <v>34</v>
      </c>
      <c r="V15" s="27">
        <v>0</v>
      </c>
      <c r="W15" s="99">
        <v>2016</v>
      </c>
      <c r="X15" s="28">
        <v>0.85</v>
      </c>
      <c r="Y15" s="100">
        <v>0.02</v>
      </c>
      <c r="Z15" s="102">
        <v>0.02</v>
      </c>
      <c r="AA15" s="119">
        <v>0.1</v>
      </c>
      <c r="AB15" s="28">
        <v>0.1</v>
      </c>
      <c r="AC15" s="100">
        <v>0.8</v>
      </c>
      <c r="AD15" s="301">
        <f>18/19</f>
        <v>0.94736842105263153</v>
      </c>
      <c r="AE15" s="196">
        <v>0.85</v>
      </c>
      <c r="AF15" s="29" t="s">
        <v>35</v>
      </c>
      <c r="AG15" s="30" t="s">
        <v>36</v>
      </c>
    </row>
    <row r="16" spans="1:44" s="31" customFormat="1" ht="173.25" customHeight="1" x14ac:dyDescent="0.2">
      <c r="A16" s="24" t="s">
        <v>37</v>
      </c>
      <c r="B16" s="24" t="s">
        <v>38</v>
      </c>
      <c r="C16" s="235" t="s">
        <v>39</v>
      </c>
      <c r="D16" s="252"/>
      <c r="E16" s="41">
        <v>2</v>
      </c>
      <c r="F16" s="177" t="s">
        <v>311</v>
      </c>
      <c r="G16" s="24" t="s">
        <v>40</v>
      </c>
      <c r="H16" s="47" t="s">
        <v>312</v>
      </c>
      <c r="I16" s="26" t="s">
        <v>34</v>
      </c>
      <c r="J16" s="27">
        <v>0.56000000000000005</v>
      </c>
      <c r="K16" s="24">
        <v>2016</v>
      </c>
      <c r="L16" s="169">
        <v>0.47</v>
      </c>
      <c r="M16" s="196">
        <f>403/840</f>
        <v>0.47976190476190478</v>
      </c>
      <c r="N16" s="172">
        <f>L16/M16</f>
        <v>0.97965260545905697</v>
      </c>
      <c r="O16" s="42" t="s">
        <v>326</v>
      </c>
      <c r="P16" s="53" t="s">
        <v>329</v>
      </c>
      <c r="Q16" s="32">
        <v>2</v>
      </c>
      <c r="R16" s="179" t="s">
        <v>270</v>
      </c>
      <c r="S16" s="24" t="s">
        <v>42</v>
      </c>
      <c r="T16" s="47" t="s">
        <v>312</v>
      </c>
      <c r="U16" s="182" t="s">
        <v>44</v>
      </c>
      <c r="V16" s="27">
        <v>0.56000000000000005</v>
      </c>
      <c r="W16" s="99">
        <v>2016</v>
      </c>
      <c r="X16" s="28">
        <v>0.47</v>
      </c>
      <c r="Y16" s="100">
        <v>0.55000000000000004</v>
      </c>
      <c r="Z16" s="102">
        <v>0.55000000000000004</v>
      </c>
      <c r="AA16" s="119">
        <v>0.53</v>
      </c>
      <c r="AB16" s="28">
        <f>1037/2091</f>
        <v>0.49593495934959347</v>
      </c>
      <c r="AC16" s="100">
        <v>0.48</v>
      </c>
      <c r="AD16" s="301">
        <f>403/840</f>
        <v>0.47976190476190478</v>
      </c>
      <c r="AE16" s="196">
        <v>0.47</v>
      </c>
      <c r="AF16" s="29" t="s">
        <v>45</v>
      </c>
      <c r="AG16" s="33" t="s">
        <v>46</v>
      </c>
    </row>
    <row r="17" spans="1:33" s="31" customFormat="1" ht="174" customHeight="1" x14ac:dyDescent="0.2">
      <c r="A17" s="24" t="s">
        <v>37</v>
      </c>
      <c r="B17" s="24" t="s">
        <v>38</v>
      </c>
      <c r="C17" s="235" t="s">
        <v>39</v>
      </c>
      <c r="D17" s="252"/>
      <c r="E17" s="41">
        <v>3</v>
      </c>
      <c r="F17" s="179" t="s">
        <v>313</v>
      </c>
      <c r="G17" s="24" t="s">
        <v>40</v>
      </c>
      <c r="H17" s="150" t="s">
        <v>41</v>
      </c>
      <c r="I17" s="26" t="s">
        <v>34</v>
      </c>
      <c r="J17" s="28">
        <v>0.06</v>
      </c>
      <c r="K17" s="24">
        <v>2018</v>
      </c>
      <c r="L17" s="169">
        <v>0.1</v>
      </c>
      <c r="M17" s="149">
        <f>1157/12305</f>
        <v>9.4026818366517675E-2</v>
      </c>
      <c r="N17" s="172">
        <f>M17/L17</f>
        <v>0.94026818366517673</v>
      </c>
      <c r="O17" s="53" t="s">
        <v>331</v>
      </c>
      <c r="P17" s="53" t="s">
        <v>330</v>
      </c>
      <c r="Q17" s="32">
        <v>3</v>
      </c>
      <c r="R17" s="179" t="s">
        <v>281</v>
      </c>
      <c r="S17" s="24" t="s">
        <v>42</v>
      </c>
      <c r="T17" s="47" t="s">
        <v>43</v>
      </c>
      <c r="U17" s="182" t="s">
        <v>44</v>
      </c>
      <c r="V17" s="28">
        <f>833/13126</f>
        <v>6.346183147950632E-2</v>
      </c>
      <c r="W17" s="99">
        <v>2018</v>
      </c>
      <c r="X17" s="28">
        <v>0.15</v>
      </c>
      <c r="Y17" s="100" t="s">
        <v>47</v>
      </c>
      <c r="Z17" s="102" t="s">
        <v>47</v>
      </c>
      <c r="AA17" s="119" t="s">
        <v>276</v>
      </c>
      <c r="AB17" s="28">
        <f>833/13126</f>
        <v>6.346183147950632E-2</v>
      </c>
      <c r="AC17" s="105">
        <v>0.1</v>
      </c>
      <c r="AD17" s="302">
        <f>1157/12305</f>
        <v>9.4026818366517675E-2</v>
      </c>
      <c r="AE17" s="196">
        <v>0.15</v>
      </c>
      <c r="AF17" s="29" t="s">
        <v>45</v>
      </c>
      <c r="AG17" s="33" t="s">
        <v>46</v>
      </c>
    </row>
    <row r="18" spans="1:33" s="31" customFormat="1" ht="125.25" customHeight="1" x14ac:dyDescent="0.2">
      <c r="A18" s="198" t="s">
        <v>37</v>
      </c>
      <c r="B18" s="198" t="s">
        <v>48</v>
      </c>
      <c r="C18" s="200" t="s">
        <v>39</v>
      </c>
      <c r="D18" s="201"/>
      <c r="E18" s="198">
        <v>4</v>
      </c>
      <c r="F18" s="198" t="s">
        <v>367</v>
      </c>
      <c r="G18" s="198" t="s">
        <v>50</v>
      </c>
      <c r="H18" s="198" t="s">
        <v>271</v>
      </c>
      <c r="I18" s="225" t="s">
        <v>34</v>
      </c>
      <c r="J18" s="215">
        <v>0</v>
      </c>
      <c r="K18" s="227">
        <v>2016</v>
      </c>
      <c r="L18" s="229">
        <v>0.04</v>
      </c>
      <c r="M18" s="215">
        <f>123/4687</f>
        <v>2.6242799231918072E-2</v>
      </c>
      <c r="N18" s="297">
        <f>M18/L18</f>
        <v>0.65606998079795176</v>
      </c>
      <c r="O18" s="231" t="s">
        <v>333</v>
      </c>
      <c r="P18" s="231" t="s">
        <v>332</v>
      </c>
      <c r="Q18" s="32">
        <v>4</v>
      </c>
      <c r="R18" s="183" t="s">
        <v>52</v>
      </c>
      <c r="S18" s="24" t="s">
        <v>53</v>
      </c>
      <c r="T18" s="47" t="s">
        <v>54</v>
      </c>
      <c r="U18" s="182" t="s">
        <v>34</v>
      </c>
      <c r="V18" s="27">
        <v>0.28999999999999998</v>
      </c>
      <c r="W18" s="99">
        <v>2016</v>
      </c>
      <c r="X18" s="28">
        <v>0.4</v>
      </c>
      <c r="Y18" s="100">
        <v>0.33</v>
      </c>
      <c r="Z18" s="102">
        <v>0.33</v>
      </c>
      <c r="AA18" s="119">
        <v>0.35</v>
      </c>
      <c r="AB18" s="28">
        <f>4746/13126</f>
        <v>0.36157245162273349</v>
      </c>
      <c r="AC18" s="100">
        <v>0.38</v>
      </c>
      <c r="AD18" s="301">
        <f>4687/12305</f>
        <v>0.38090207232832179</v>
      </c>
      <c r="AE18" s="196">
        <v>0.4</v>
      </c>
      <c r="AF18" s="29" t="s">
        <v>55</v>
      </c>
      <c r="AG18" s="35" t="s">
        <v>56</v>
      </c>
    </row>
    <row r="19" spans="1:33" s="31" customFormat="1" ht="125.25" customHeight="1" x14ac:dyDescent="0.2">
      <c r="A19" s="199"/>
      <c r="B19" s="199"/>
      <c r="C19" s="202"/>
      <c r="D19" s="203"/>
      <c r="E19" s="218"/>
      <c r="F19" s="218"/>
      <c r="G19" s="218"/>
      <c r="H19" s="218"/>
      <c r="I19" s="226"/>
      <c r="J19" s="216"/>
      <c r="K19" s="228"/>
      <c r="L19" s="230"/>
      <c r="M19" s="216"/>
      <c r="N19" s="298"/>
      <c r="O19" s="232"/>
      <c r="P19" s="232"/>
      <c r="Q19" s="32">
        <v>5</v>
      </c>
      <c r="R19" s="183" t="s">
        <v>49</v>
      </c>
      <c r="S19" s="24" t="s">
        <v>57</v>
      </c>
      <c r="T19" s="47" t="s">
        <v>58</v>
      </c>
      <c r="U19" s="182" t="s">
        <v>34</v>
      </c>
      <c r="V19" s="106">
        <v>0</v>
      </c>
      <c r="W19" s="99">
        <v>2016</v>
      </c>
      <c r="X19" s="28">
        <v>0.04</v>
      </c>
      <c r="Y19" s="107">
        <v>6.8999999999999999E-3</v>
      </c>
      <c r="Z19" s="36">
        <v>6.8999999999999999E-3</v>
      </c>
      <c r="AA19" s="120">
        <v>1.4999999999999999E-2</v>
      </c>
      <c r="AB19" s="37">
        <f>69/4746</f>
        <v>1.4538558786346398E-2</v>
      </c>
      <c r="AC19" s="164">
        <v>2.5000000000000001E-2</v>
      </c>
      <c r="AD19" s="302">
        <f>123/4687</f>
        <v>2.6242799231918072E-2</v>
      </c>
      <c r="AE19" s="196">
        <v>0.04</v>
      </c>
      <c r="AF19" s="29" t="s">
        <v>55</v>
      </c>
      <c r="AG19" s="35" t="s">
        <v>56</v>
      </c>
    </row>
    <row r="20" spans="1:33" s="31" customFormat="1" ht="196.5" customHeight="1" x14ac:dyDescent="0.2">
      <c r="A20" s="34" t="s">
        <v>37</v>
      </c>
      <c r="B20" s="34" t="s">
        <v>48</v>
      </c>
      <c r="C20" s="249" t="s">
        <v>39</v>
      </c>
      <c r="D20" s="250"/>
      <c r="E20" s="198">
        <v>5</v>
      </c>
      <c r="F20" s="198" t="s">
        <v>388</v>
      </c>
      <c r="G20" s="198" t="s">
        <v>50</v>
      </c>
      <c r="H20" s="198" t="s">
        <v>51</v>
      </c>
      <c r="I20" s="225" t="s">
        <v>34</v>
      </c>
      <c r="J20" s="254">
        <v>0.36731107205623903</v>
      </c>
      <c r="K20" s="227">
        <v>2017</v>
      </c>
      <c r="L20" s="229">
        <v>0.4</v>
      </c>
      <c r="M20" s="254">
        <f>715/1830</f>
        <v>0.39071038251366119</v>
      </c>
      <c r="N20" s="297">
        <f>M20/L20</f>
        <v>0.97677595628415292</v>
      </c>
      <c r="O20" s="231" t="s">
        <v>334</v>
      </c>
      <c r="P20" s="231" t="s">
        <v>332</v>
      </c>
      <c r="Q20" s="32">
        <v>6</v>
      </c>
      <c r="R20" s="183" t="s">
        <v>282</v>
      </c>
      <c r="S20" s="24" t="s">
        <v>59</v>
      </c>
      <c r="T20" s="47" t="s">
        <v>60</v>
      </c>
      <c r="U20" s="182" t="s">
        <v>34</v>
      </c>
      <c r="V20" s="27">
        <v>0.77</v>
      </c>
      <c r="W20" s="99">
        <v>2016</v>
      </c>
      <c r="X20" s="83" t="s">
        <v>283</v>
      </c>
      <c r="Y20" s="100">
        <v>0.78</v>
      </c>
      <c r="Z20" s="102">
        <v>0.78</v>
      </c>
      <c r="AA20" s="119">
        <v>0.8</v>
      </c>
      <c r="AB20" s="37">
        <f>283/310</f>
        <v>0.91290322580645167</v>
      </c>
      <c r="AC20" s="100">
        <v>0.9</v>
      </c>
      <c r="AD20" s="303">
        <f>300/322</f>
        <v>0.93167701863354035</v>
      </c>
      <c r="AE20" s="196">
        <v>0.9</v>
      </c>
      <c r="AF20" s="29" t="s">
        <v>55</v>
      </c>
      <c r="AG20" s="35" t="s">
        <v>56</v>
      </c>
    </row>
    <row r="21" spans="1:33" s="31" customFormat="1" ht="107.25" customHeight="1" x14ac:dyDescent="0.2">
      <c r="A21" s="34" t="s">
        <v>37</v>
      </c>
      <c r="B21" s="34" t="s">
        <v>48</v>
      </c>
      <c r="C21" s="249" t="s">
        <v>39</v>
      </c>
      <c r="D21" s="250"/>
      <c r="E21" s="199"/>
      <c r="F21" s="199"/>
      <c r="G21" s="199"/>
      <c r="H21" s="199"/>
      <c r="I21" s="253"/>
      <c r="J21" s="255"/>
      <c r="K21" s="256"/>
      <c r="L21" s="233"/>
      <c r="M21" s="255"/>
      <c r="N21" s="299"/>
      <c r="O21" s="232"/>
      <c r="P21" s="232"/>
      <c r="Q21" s="32">
        <v>7</v>
      </c>
      <c r="R21" s="183" t="s">
        <v>61</v>
      </c>
      <c r="S21" s="24" t="s">
        <v>50</v>
      </c>
      <c r="T21" s="47" t="s">
        <v>62</v>
      </c>
      <c r="U21" s="182" t="s">
        <v>63</v>
      </c>
      <c r="V21" s="27">
        <v>0</v>
      </c>
      <c r="W21" s="99">
        <v>2016</v>
      </c>
      <c r="X21" s="83">
        <v>0.59</v>
      </c>
      <c r="Y21" s="100">
        <v>0.49</v>
      </c>
      <c r="Z21" s="102">
        <v>0.49</v>
      </c>
      <c r="AA21" s="119">
        <v>0.56000000000000005</v>
      </c>
      <c r="AB21" s="28">
        <f>1112 /1957</f>
        <v>0.56821665815022993</v>
      </c>
      <c r="AC21" s="100">
        <v>0.57999999999999996</v>
      </c>
      <c r="AD21" s="301">
        <f>715/1830</f>
        <v>0.39071038251366119</v>
      </c>
      <c r="AE21" s="196">
        <v>0.59</v>
      </c>
      <c r="AF21" s="29" t="s">
        <v>55</v>
      </c>
      <c r="AG21" s="35" t="s">
        <v>56</v>
      </c>
    </row>
    <row r="22" spans="1:33" s="31" customFormat="1" ht="150" customHeight="1" x14ac:dyDescent="0.2">
      <c r="A22" s="34" t="s">
        <v>37</v>
      </c>
      <c r="B22" s="34" t="s">
        <v>48</v>
      </c>
      <c r="C22" s="249" t="s">
        <v>39</v>
      </c>
      <c r="D22" s="250"/>
      <c r="E22" s="198">
        <v>6</v>
      </c>
      <c r="F22" s="198" t="s">
        <v>64</v>
      </c>
      <c r="G22" s="198" t="s">
        <v>65</v>
      </c>
      <c r="H22" s="198" t="s">
        <v>66</v>
      </c>
      <c r="I22" s="225" t="s">
        <v>34</v>
      </c>
      <c r="J22" s="254">
        <v>0</v>
      </c>
      <c r="K22" s="227">
        <v>2016</v>
      </c>
      <c r="L22" s="229">
        <v>0.04</v>
      </c>
      <c r="M22" s="215">
        <f>41/1160</f>
        <v>3.5344827586206898E-2</v>
      </c>
      <c r="N22" s="297">
        <f>M22/L22</f>
        <v>0.88362068965517238</v>
      </c>
      <c r="O22" s="231" t="s">
        <v>335</v>
      </c>
      <c r="P22" s="231" t="s">
        <v>332</v>
      </c>
      <c r="Q22" s="32">
        <v>8</v>
      </c>
      <c r="R22" s="183" t="s">
        <v>67</v>
      </c>
      <c r="S22" s="24" t="s">
        <v>68</v>
      </c>
      <c r="T22" s="47" t="s">
        <v>69</v>
      </c>
      <c r="U22" s="182" t="s">
        <v>34</v>
      </c>
      <c r="V22" s="36" t="s">
        <v>70</v>
      </c>
      <c r="W22" s="99">
        <v>2016</v>
      </c>
      <c r="X22" s="83">
        <v>0.12</v>
      </c>
      <c r="Y22" s="107">
        <f>801/10538</f>
        <v>7.601062820269501E-2</v>
      </c>
      <c r="Z22" s="36">
        <f>801/10538</f>
        <v>7.601062820269501E-2</v>
      </c>
      <c r="AA22" s="119">
        <v>0.1</v>
      </c>
      <c r="AB22" s="38">
        <f>1061/10126</f>
        <v>0.10477977483705313</v>
      </c>
      <c r="AC22" s="119">
        <v>0.11</v>
      </c>
      <c r="AD22" s="304">
        <f>1160/10249</f>
        <v>0.11318177383159332</v>
      </c>
      <c r="AE22" s="28">
        <v>0.12</v>
      </c>
      <c r="AF22" s="29" t="s">
        <v>55</v>
      </c>
      <c r="AG22" s="35" t="s">
        <v>71</v>
      </c>
    </row>
    <row r="23" spans="1:33" s="31" customFormat="1" ht="176.25" customHeight="1" x14ac:dyDescent="0.2">
      <c r="A23" s="34" t="s">
        <v>37</v>
      </c>
      <c r="B23" s="34" t="s">
        <v>48</v>
      </c>
      <c r="C23" s="249" t="s">
        <v>39</v>
      </c>
      <c r="D23" s="250"/>
      <c r="E23" s="199"/>
      <c r="F23" s="199"/>
      <c r="G23" s="199"/>
      <c r="H23" s="199"/>
      <c r="I23" s="253"/>
      <c r="J23" s="255"/>
      <c r="K23" s="256"/>
      <c r="L23" s="233"/>
      <c r="M23" s="294"/>
      <c r="N23" s="299"/>
      <c r="O23" s="232"/>
      <c r="P23" s="232"/>
      <c r="Q23" s="32">
        <v>9</v>
      </c>
      <c r="R23" s="183" t="s">
        <v>72</v>
      </c>
      <c r="S23" s="24" t="s">
        <v>65</v>
      </c>
      <c r="T23" s="47" t="s">
        <v>66</v>
      </c>
      <c r="U23" s="182" t="s">
        <v>34</v>
      </c>
      <c r="V23" s="27" t="s">
        <v>70</v>
      </c>
      <c r="W23" s="99">
        <v>2016</v>
      </c>
      <c r="X23" s="28">
        <v>0.05</v>
      </c>
      <c r="Y23" s="164">
        <v>1.4999999999999999E-2</v>
      </c>
      <c r="Z23" s="156">
        <v>1.7000000000000001E-2</v>
      </c>
      <c r="AA23" s="119">
        <v>0.02</v>
      </c>
      <c r="AB23" s="37">
        <f>31/1261</f>
        <v>2.458366375892149E-2</v>
      </c>
      <c r="AC23" s="314">
        <v>3.4000000000000002E-2</v>
      </c>
      <c r="AD23" s="305">
        <f>41/1160</f>
        <v>3.5344827586206898E-2</v>
      </c>
      <c r="AE23" s="28">
        <v>0.04</v>
      </c>
      <c r="AF23" s="29" t="s">
        <v>55</v>
      </c>
      <c r="AG23" s="35" t="s">
        <v>71</v>
      </c>
    </row>
    <row r="24" spans="1:33" s="31" customFormat="1" ht="105.75" customHeight="1" x14ac:dyDescent="0.2">
      <c r="A24" s="34" t="s">
        <v>37</v>
      </c>
      <c r="B24" s="34" t="s">
        <v>48</v>
      </c>
      <c r="C24" s="249" t="s">
        <v>39</v>
      </c>
      <c r="D24" s="250"/>
      <c r="E24" s="198">
        <v>7</v>
      </c>
      <c r="F24" s="198" t="s">
        <v>314</v>
      </c>
      <c r="G24" s="198" t="s">
        <v>73</v>
      </c>
      <c r="H24" s="198" t="s">
        <v>337</v>
      </c>
      <c r="I24" s="225" t="s">
        <v>34</v>
      </c>
      <c r="J24" s="254">
        <v>0.21</v>
      </c>
      <c r="K24" s="227">
        <v>2017</v>
      </c>
      <c r="L24" s="229">
        <v>0.25</v>
      </c>
      <c r="M24" s="254">
        <f>68/290</f>
        <v>0.23448275862068965</v>
      </c>
      <c r="N24" s="297">
        <f>M24/L24</f>
        <v>0.93793103448275861</v>
      </c>
      <c r="O24" s="231" t="s">
        <v>338</v>
      </c>
      <c r="P24" s="231" t="s">
        <v>336</v>
      </c>
      <c r="Q24" s="32">
        <v>10</v>
      </c>
      <c r="R24" s="183" t="s">
        <v>284</v>
      </c>
      <c r="S24" s="24" t="s">
        <v>73</v>
      </c>
      <c r="T24" s="47" t="s">
        <v>74</v>
      </c>
      <c r="U24" s="182" t="s">
        <v>34</v>
      </c>
      <c r="V24" s="27" t="s">
        <v>70</v>
      </c>
      <c r="W24" s="99">
        <v>2016</v>
      </c>
      <c r="X24" s="28">
        <v>0.25</v>
      </c>
      <c r="Y24" s="100">
        <v>0.21</v>
      </c>
      <c r="Z24" s="102">
        <v>0.21</v>
      </c>
      <c r="AA24" s="119">
        <v>0.22</v>
      </c>
      <c r="AB24" s="28">
        <f>38/176</f>
        <v>0.21590909090909091</v>
      </c>
      <c r="AC24" s="100">
        <v>0.23</v>
      </c>
      <c r="AD24" s="301">
        <f>68/290</f>
        <v>0.23448275862068965</v>
      </c>
      <c r="AE24" s="196">
        <v>0.25</v>
      </c>
      <c r="AF24" s="29" t="s">
        <v>55</v>
      </c>
      <c r="AG24" s="35" t="s">
        <v>71</v>
      </c>
    </row>
    <row r="25" spans="1:33" s="31" customFormat="1" ht="219.75" customHeight="1" x14ac:dyDescent="0.2">
      <c r="A25" s="34" t="s">
        <v>37</v>
      </c>
      <c r="B25" s="34" t="s">
        <v>48</v>
      </c>
      <c r="C25" s="249" t="s">
        <v>39</v>
      </c>
      <c r="D25" s="250"/>
      <c r="E25" s="199"/>
      <c r="F25" s="199"/>
      <c r="G25" s="199"/>
      <c r="H25" s="199"/>
      <c r="I25" s="253"/>
      <c r="J25" s="255"/>
      <c r="K25" s="256"/>
      <c r="L25" s="233"/>
      <c r="M25" s="255"/>
      <c r="N25" s="299"/>
      <c r="O25" s="232"/>
      <c r="P25" s="232"/>
      <c r="Q25" s="32">
        <v>11</v>
      </c>
      <c r="R25" s="183" t="s">
        <v>368</v>
      </c>
      <c r="S25" s="24" t="s">
        <v>75</v>
      </c>
      <c r="T25" s="47" t="s">
        <v>76</v>
      </c>
      <c r="U25" s="182" t="s">
        <v>34</v>
      </c>
      <c r="V25" s="27">
        <v>0</v>
      </c>
      <c r="W25" s="99">
        <v>2016</v>
      </c>
      <c r="X25" s="28">
        <v>0.85</v>
      </c>
      <c r="Y25" s="108">
        <v>0</v>
      </c>
      <c r="Z25" s="28">
        <v>0</v>
      </c>
      <c r="AA25" s="119">
        <v>0.8</v>
      </c>
      <c r="AB25" s="28">
        <f>91/111</f>
        <v>0.81981981981981977</v>
      </c>
      <c r="AC25" s="108">
        <v>0.83</v>
      </c>
      <c r="AD25" s="304">
        <f>102/121</f>
        <v>0.84297520661157022</v>
      </c>
      <c r="AE25" s="28">
        <v>0.85</v>
      </c>
      <c r="AF25" s="29" t="s">
        <v>55</v>
      </c>
      <c r="AG25" s="35" t="s">
        <v>56</v>
      </c>
    </row>
    <row r="26" spans="1:33" s="31" customFormat="1" ht="88.5" customHeight="1" x14ac:dyDescent="0.2">
      <c r="A26" s="217" t="s">
        <v>37</v>
      </c>
      <c r="B26" s="217" t="s">
        <v>38</v>
      </c>
      <c r="C26" s="235" t="s">
        <v>39</v>
      </c>
      <c r="D26" s="235"/>
      <c r="E26" s="198">
        <v>8</v>
      </c>
      <c r="F26" s="263" t="s">
        <v>260</v>
      </c>
      <c r="G26" s="263" t="s">
        <v>315</v>
      </c>
      <c r="H26" s="217" t="s">
        <v>316</v>
      </c>
      <c r="I26" s="264" t="s">
        <v>44</v>
      </c>
      <c r="J26" s="265">
        <v>0</v>
      </c>
      <c r="K26" s="217">
        <v>2016</v>
      </c>
      <c r="L26" s="266">
        <v>1</v>
      </c>
      <c r="M26" s="282">
        <f>4/4</f>
        <v>1</v>
      </c>
      <c r="N26" s="285">
        <f>M26/L26</f>
        <v>1</v>
      </c>
      <c r="O26" s="267" t="s">
        <v>389</v>
      </c>
      <c r="P26" s="267" t="s">
        <v>339</v>
      </c>
      <c r="Q26" s="32">
        <v>12</v>
      </c>
      <c r="R26" s="180" t="s">
        <v>369</v>
      </c>
      <c r="S26" s="35" t="s">
        <v>78</v>
      </c>
      <c r="T26" s="47" t="s">
        <v>79</v>
      </c>
      <c r="U26" s="181" t="s">
        <v>34</v>
      </c>
      <c r="V26" s="27" t="s">
        <v>80</v>
      </c>
      <c r="W26" s="97">
        <v>2016</v>
      </c>
      <c r="X26" s="28">
        <v>0.13</v>
      </c>
      <c r="Y26" s="100">
        <v>0.09</v>
      </c>
      <c r="Z26" s="102">
        <v>0.09</v>
      </c>
      <c r="AA26" s="119">
        <v>0.11</v>
      </c>
      <c r="AB26" s="38">
        <f>215/1900</f>
        <v>0.11315789473684211</v>
      </c>
      <c r="AC26" s="100">
        <v>0.12</v>
      </c>
      <c r="AD26" s="301">
        <f>235/1960</f>
        <v>0.11989795918367346</v>
      </c>
      <c r="AE26" s="196">
        <v>0.13</v>
      </c>
      <c r="AF26" s="29" t="s">
        <v>55</v>
      </c>
      <c r="AG26" s="35" t="s">
        <v>71</v>
      </c>
    </row>
    <row r="27" spans="1:33" s="31" customFormat="1" ht="116.25" customHeight="1" x14ac:dyDescent="0.2">
      <c r="A27" s="217"/>
      <c r="B27" s="217"/>
      <c r="C27" s="235"/>
      <c r="D27" s="235"/>
      <c r="E27" s="218"/>
      <c r="F27" s="263"/>
      <c r="G27" s="263"/>
      <c r="H27" s="217"/>
      <c r="I27" s="264"/>
      <c r="J27" s="265"/>
      <c r="K27" s="217"/>
      <c r="L27" s="266"/>
      <c r="M27" s="282"/>
      <c r="N27" s="285"/>
      <c r="O27" s="267"/>
      <c r="P27" s="267"/>
      <c r="Q27" s="32">
        <v>13</v>
      </c>
      <c r="R27" s="180" t="s">
        <v>81</v>
      </c>
      <c r="S27" s="35" t="s">
        <v>82</v>
      </c>
      <c r="T27" s="47" t="s">
        <v>83</v>
      </c>
      <c r="U27" s="181" t="s">
        <v>34</v>
      </c>
      <c r="V27" s="27">
        <v>0.22</v>
      </c>
      <c r="W27" s="97">
        <v>2016</v>
      </c>
      <c r="X27" s="28">
        <v>0.28999999999999998</v>
      </c>
      <c r="Y27" s="100">
        <v>0.24</v>
      </c>
      <c r="Z27" s="102">
        <v>0.24</v>
      </c>
      <c r="AA27" s="119">
        <v>0.26</v>
      </c>
      <c r="AB27" s="28">
        <f>1007/3801</f>
        <v>0.26493028150486714</v>
      </c>
      <c r="AC27" s="100">
        <v>0.28000000000000003</v>
      </c>
      <c r="AD27" s="301">
        <f>1119/4030</f>
        <v>0.27766749379652605</v>
      </c>
      <c r="AE27" s="196">
        <v>0.19</v>
      </c>
      <c r="AF27" s="29" t="s">
        <v>55</v>
      </c>
      <c r="AG27" s="35" t="s">
        <v>71</v>
      </c>
    </row>
    <row r="28" spans="1:33" s="31" customFormat="1" ht="111" customHeight="1" x14ac:dyDescent="0.2">
      <c r="A28" s="217"/>
      <c r="B28" s="217"/>
      <c r="C28" s="235"/>
      <c r="D28" s="235"/>
      <c r="E28" s="218"/>
      <c r="F28" s="263"/>
      <c r="G28" s="263"/>
      <c r="H28" s="217"/>
      <c r="I28" s="264"/>
      <c r="J28" s="265"/>
      <c r="K28" s="217"/>
      <c r="L28" s="266"/>
      <c r="M28" s="282"/>
      <c r="N28" s="285"/>
      <c r="O28" s="267"/>
      <c r="P28" s="267"/>
      <c r="Q28" s="40">
        <v>14</v>
      </c>
      <c r="R28" s="185" t="s">
        <v>84</v>
      </c>
      <c r="S28" s="35" t="s">
        <v>285</v>
      </c>
      <c r="T28" s="47" t="s">
        <v>85</v>
      </c>
      <c r="U28" s="181" t="s">
        <v>34</v>
      </c>
      <c r="V28" s="28">
        <f>30/1007</f>
        <v>2.9791459781529295E-2</v>
      </c>
      <c r="W28" s="97">
        <v>2018</v>
      </c>
      <c r="X28" s="28">
        <v>0.01</v>
      </c>
      <c r="Y28" s="100" t="s">
        <v>276</v>
      </c>
      <c r="Z28" s="102" t="s">
        <v>276</v>
      </c>
      <c r="AA28" s="119" t="s">
        <v>276</v>
      </c>
      <c r="AB28" s="28">
        <f>30/1007</f>
        <v>2.9791459781529295E-2</v>
      </c>
      <c r="AC28" s="100">
        <v>0.02</v>
      </c>
      <c r="AD28" s="301">
        <f>23/1119</f>
        <v>2.0554066130473638E-2</v>
      </c>
      <c r="AE28" s="196">
        <v>0.01</v>
      </c>
      <c r="AF28" s="29" t="s">
        <v>55</v>
      </c>
      <c r="AG28" s="35" t="s">
        <v>71</v>
      </c>
    </row>
    <row r="29" spans="1:33" s="31" customFormat="1" ht="112.5" customHeight="1" x14ac:dyDescent="0.2">
      <c r="A29" s="222"/>
      <c r="B29" s="222"/>
      <c r="C29" s="252"/>
      <c r="D29" s="252"/>
      <c r="E29" s="199"/>
      <c r="F29" s="222"/>
      <c r="G29" s="222"/>
      <c r="H29" s="217"/>
      <c r="I29" s="264"/>
      <c r="J29" s="265"/>
      <c r="K29" s="217"/>
      <c r="L29" s="266"/>
      <c r="M29" s="282"/>
      <c r="N29" s="285"/>
      <c r="O29" s="267"/>
      <c r="P29" s="267"/>
      <c r="Q29" s="40">
        <v>15</v>
      </c>
      <c r="R29" s="180" t="s">
        <v>286</v>
      </c>
      <c r="S29" s="35" t="s">
        <v>86</v>
      </c>
      <c r="T29" s="47" t="s">
        <v>87</v>
      </c>
      <c r="U29" s="181" t="s">
        <v>34</v>
      </c>
      <c r="V29" s="27">
        <v>0.02</v>
      </c>
      <c r="W29" s="97">
        <v>2016</v>
      </c>
      <c r="X29" s="28">
        <v>7.0000000000000007E-2</v>
      </c>
      <c r="Y29" s="100">
        <v>0.03</v>
      </c>
      <c r="Z29" s="102">
        <v>0.03</v>
      </c>
      <c r="AA29" s="119">
        <v>0.04</v>
      </c>
      <c r="AB29" s="28">
        <f>210/3821</f>
        <v>5.495943470295734E-2</v>
      </c>
      <c r="AC29" s="100">
        <v>0.06</v>
      </c>
      <c r="AD29" s="301">
        <f>274/3655</f>
        <v>7.496580027359781E-2</v>
      </c>
      <c r="AE29" s="196">
        <v>7.0000000000000007E-2</v>
      </c>
      <c r="AF29" s="29" t="s">
        <v>55</v>
      </c>
      <c r="AG29" s="35" t="s">
        <v>71</v>
      </c>
    </row>
    <row r="30" spans="1:33" s="31" customFormat="1" ht="101.25" customHeight="1" x14ac:dyDescent="0.2">
      <c r="A30" s="217" t="s">
        <v>37</v>
      </c>
      <c r="B30" s="217" t="s">
        <v>38</v>
      </c>
      <c r="C30" s="235" t="s">
        <v>39</v>
      </c>
      <c r="D30" s="225"/>
      <c r="E30" s="217">
        <v>9</v>
      </c>
      <c r="F30" s="217" t="s">
        <v>261</v>
      </c>
      <c r="G30" s="217" t="s">
        <v>89</v>
      </c>
      <c r="H30" s="217" t="s">
        <v>90</v>
      </c>
      <c r="I30" s="235" t="s">
        <v>91</v>
      </c>
      <c r="J30" s="217">
        <v>0</v>
      </c>
      <c r="K30" s="217">
        <v>2016</v>
      </c>
      <c r="L30" s="236">
        <v>0</v>
      </c>
      <c r="M30" s="217">
        <v>0</v>
      </c>
      <c r="N30" s="283">
        <v>1</v>
      </c>
      <c r="O30" s="234" t="s">
        <v>340</v>
      </c>
      <c r="P30" s="234" t="s">
        <v>341</v>
      </c>
      <c r="Q30" s="40">
        <v>16</v>
      </c>
      <c r="R30" s="179" t="s">
        <v>287</v>
      </c>
      <c r="S30" s="24" t="s">
        <v>92</v>
      </c>
      <c r="T30" s="47" t="s">
        <v>93</v>
      </c>
      <c r="U30" s="182" t="s">
        <v>34</v>
      </c>
      <c r="V30" s="36">
        <v>5.2999999999999999E-2</v>
      </c>
      <c r="W30" s="99">
        <v>2016</v>
      </c>
      <c r="X30" s="28" t="s">
        <v>288</v>
      </c>
      <c r="Y30" s="107" t="s">
        <v>94</v>
      </c>
      <c r="Z30" s="36" t="s">
        <v>94</v>
      </c>
      <c r="AA30" s="119" t="s">
        <v>94</v>
      </c>
      <c r="AB30" s="38">
        <f>1/24</f>
        <v>4.1666666666666664E-2</v>
      </c>
      <c r="AC30" s="100" t="s">
        <v>238</v>
      </c>
      <c r="AD30" s="301">
        <f>0/24</f>
        <v>0</v>
      </c>
      <c r="AE30" s="196" t="s">
        <v>238</v>
      </c>
      <c r="AF30" s="29" t="s">
        <v>95</v>
      </c>
      <c r="AG30" s="35" t="s">
        <v>96</v>
      </c>
    </row>
    <row r="31" spans="1:33" s="31" customFormat="1" ht="88.5" customHeight="1" x14ac:dyDescent="0.2">
      <c r="A31" s="217"/>
      <c r="B31" s="217"/>
      <c r="C31" s="235" t="s">
        <v>39</v>
      </c>
      <c r="D31" s="253"/>
      <c r="E31" s="217"/>
      <c r="F31" s="217" t="s">
        <v>88</v>
      </c>
      <c r="G31" s="217" t="s">
        <v>89</v>
      </c>
      <c r="H31" s="217" t="s">
        <v>90</v>
      </c>
      <c r="I31" s="235"/>
      <c r="J31" s="217"/>
      <c r="K31" s="217">
        <v>2016</v>
      </c>
      <c r="L31" s="236"/>
      <c r="M31" s="217"/>
      <c r="N31" s="284"/>
      <c r="O31" s="234"/>
      <c r="P31" s="234"/>
      <c r="Q31" s="40">
        <v>17</v>
      </c>
      <c r="R31" s="179" t="s">
        <v>370</v>
      </c>
      <c r="S31" s="24" t="s">
        <v>97</v>
      </c>
      <c r="T31" s="47" t="s">
        <v>98</v>
      </c>
      <c r="U31" s="182" t="s">
        <v>99</v>
      </c>
      <c r="V31" s="36" t="s">
        <v>100</v>
      </c>
      <c r="W31" s="99">
        <v>2016</v>
      </c>
      <c r="X31" s="155">
        <v>4</v>
      </c>
      <c r="Y31" s="109">
        <v>3.5</v>
      </c>
      <c r="Z31" s="81">
        <v>3.54</v>
      </c>
      <c r="AA31" s="109">
        <v>3.6</v>
      </c>
      <c r="AB31" s="315">
        <v>3.69</v>
      </c>
      <c r="AC31" s="109">
        <v>3.8</v>
      </c>
      <c r="AD31" s="306">
        <v>3.8</v>
      </c>
      <c r="AE31" s="81">
        <v>4</v>
      </c>
      <c r="AF31" s="29" t="s">
        <v>95</v>
      </c>
      <c r="AG31" s="35" t="s">
        <v>96</v>
      </c>
    </row>
    <row r="32" spans="1:33" s="31" customFormat="1" ht="103.5" customHeight="1" x14ac:dyDescent="0.2">
      <c r="A32" s="217" t="s">
        <v>101</v>
      </c>
      <c r="B32" s="217" t="s">
        <v>38</v>
      </c>
      <c r="C32" s="235" t="s">
        <v>102</v>
      </c>
      <c r="D32" s="235"/>
      <c r="E32" s="217">
        <v>10</v>
      </c>
      <c r="F32" s="217" t="s">
        <v>262</v>
      </c>
      <c r="G32" s="217" t="s">
        <v>103</v>
      </c>
      <c r="H32" s="217" t="s">
        <v>104</v>
      </c>
      <c r="I32" s="235" t="s">
        <v>91</v>
      </c>
      <c r="J32" s="217">
        <v>0</v>
      </c>
      <c r="K32" s="217">
        <v>2016</v>
      </c>
      <c r="L32" s="236">
        <v>0</v>
      </c>
      <c r="M32" s="217">
        <v>0</v>
      </c>
      <c r="N32" s="283">
        <v>1</v>
      </c>
      <c r="O32" s="234" t="s">
        <v>342</v>
      </c>
      <c r="P32" s="234" t="s">
        <v>343</v>
      </c>
      <c r="Q32" s="40">
        <v>18</v>
      </c>
      <c r="R32" s="179" t="s">
        <v>371</v>
      </c>
      <c r="S32" s="29" t="s">
        <v>105</v>
      </c>
      <c r="T32" s="47" t="s">
        <v>106</v>
      </c>
      <c r="U32" s="181" t="s">
        <v>34</v>
      </c>
      <c r="V32" s="27">
        <v>0.65</v>
      </c>
      <c r="W32" s="97">
        <v>2016</v>
      </c>
      <c r="X32" s="28">
        <v>0.73</v>
      </c>
      <c r="Y32" s="100">
        <v>0.7</v>
      </c>
      <c r="Z32" s="102">
        <f>126/18385%</f>
        <v>0.6853413108512374</v>
      </c>
      <c r="AA32" s="100">
        <v>0.7</v>
      </c>
      <c r="AB32" s="156">
        <f>151/211</f>
        <v>0.71563981042654023</v>
      </c>
      <c r="AC32" s="100">
        <v>0.73</v>
      </c>
      <c r="AD32" s="301">
        <f>155/212</f>
        <v>0.73113207547169812</v>
      </c>
      <c r="AE32" s="196">
        <v>0.73</v>
      </c>
      <c r="AF32" s="29" t="s">
        <v>107</v>
      </c>
      <c r="AG32" s="43" t="s">
        <v>108</v>
      </c>
    </row>
    <row r="33" spans="1:33" s="31" customFormat="1" ht="118.5" customHeight="1" x14ac:dyDescent="0.2">
      <c r="A33" s="217"/>
      <c r="B33" s="217"/>
      <c r="C33" s="235"/>
      <c r="D33" s="235"/>
      <c r="E33" s="217"/>
      <c r="F33" s="217"/>
      <c r="G33" s="217"/>
      <c r="H33" s="217"/>
      <c r="I33" s="235"/>
      <c r="J33" s="217"/>
      <c r="K33" s="217"/>
      <c r="L33" s="236"/>
      <c r="M33" s="217"/>
      <c r="N33" s="284"/>
      <c r="O33" s="234"/>
      <c r="P33" s="234"/>
      <c r="Q33" s="40">
        <v>19</v>
      </c>
      <c r="R33" s="179" t="s">
        <v>109</v>
      </c>
      <c r="S33" s="29" t="s">
        <v>110</v>
      </c>
      <c r="T33" s="47" t="s">
        <v>110</v>
      </c>
      <c r="U33" s="181" t="s">
        <v>34</v>
      </c>
      <c r="V33" s="27" t="s">
        <v>80</v>
      </c>
      <c r="W33" s="97">
        <v>2016</v>
      </c>
      <c r="X33" s="28">
        <v>0.76</v>
      </c>
      <c r="Y33" s="100">
        <v>0.62</v>
      </c>
      <c r="Z33" s="102">
        <v>0.62</v>
      </c>
      <c r="AA33" s="146">
        <v>0.65</v>
      </c>
      <c r="AB33" s="156">
        <f>148/211</f>
        <v>0.70142180094786732</v>
      </c>
      <c r="AC33" s="100">
        <v>0.75</v>
      </c>
      <c r="AD33" s="301">
        <f>175/212</f>
        <v>0.82547169811320753</v>
      </c>
      <c r="AE33" s="196">
        <v>0.76</v>
      </c>
      <c r="AF33" s="29" t="s">
        <v>111</v>
      </c>
      <c r="AG33" s="43" t="s">
        <v>241</v>
      </c>
    </row>
    <row r="34" spans="1:33" s="31" customFormat="1" ht="109.5" customHeight="1" x14ac:dyDescent="0.2">
      <c r="A34" s="222" t="s">
        <v>37</v>
      </c>
      <c r="B34" s="217" t="s">
        <v>48</v>
      </c>
      <c r="C34" s="252" t="s">
        <v>112</v>
      </c>
      <c r="D34" s="252"/>
      <c r="E34" s="219">
        <v>11</v>
      </c>
      <c r="F34" s="217" t="s">
        <v>263</v>
      </c>
      <c r="G34" s="217" t="s">
        <v>113</v>
      </c>
      <c r="H34" s="217" t="s">
        <v>114</v>
      </c>
      <c r="I34" s="235" t="s">
        <v>34</v>
      </c>
      <c r="J34" s="268">
        <f>74/1422</f>
        <v>5.2039381153305204E-2</v>
      </c>
      <c r="K34" s="217">
        <v>2018</v>
      </c>
      <c r="L34" s="271">
        <v>0.04</v>
      </c>
      <c r="M34" s="295">
        <f>55/1407</f>
        <v>3.9090262970859983E-2</v>
      </c>
      <c r="N34" s="274">
        <v>1</v>
      </c>
      <c r="O34" s="272" t="s">
        <v>345</v>
      </c>
      <c r="P34" s="272" t="s">
        <v>344</v>
      </c>
      <c r="Q34" s="40">
        <v>20</v>
      </c>
      <c r="R34" s="179" t="s">
        <v>395</v>
      </c>
      <c r="S34" s="24" t="s">
        <v>115</v>
      </c>
      <c r="T34" s="47" t="s">
        <v>116</v>
      </c>
      <c r="U34" s="182" t="s">
        <v>34</v>
      </c>
      <c r="V34" s="27">
        <v>0.2</v>
      </c>
      <c r="W34" s="99">
        <v>2016</v>
      </c>
      <c r="X34" s="28">
        <v>0.27</v>
      </c>
      <c r="Y34" s="146">
        <v>0.21</v>
      </c>
      <c r="Z34" s="144">
        <v>0.21</v>
      </c>
      <c r="AA34" s="146">
        <v>0.22</v>
      </c>
      <c r="AB34" s="156">
        <f>684/3095</f>
        <v>0.22100161550888531</v>
      </c>
      <c r="AC34" s="146">
        <v>0.26</v>
      </c>
      <c r="AD34" s="301">
        <f>811/3147</f>
        <v>0.25770575150937403</v>
      </c>
      <c r="AE34" s="196">
        <v>0.14000000000000001</v>
      </c>
      <c r="AF34" s="29" t="s">
        <v>117</v>
      </c>
      <c r="AG34" s="35" t="s">
        <v>71</v>
      </c>
    </row>
    <row r="35" spans="1:33" s="31" customFormat="1" ht="102" customHeight="1" x14ac:dyDescent="0.2">
      <c r="A35" s="222"/>
      <c r="B35" s="217"/>
      <c r="C35" s="252"/>
      <c r="D35" s="252"/>
      <c r="E35" s="220"/>
      <c r="F35" s="217"/>
      <c r="G35" s="217"/>
      <c r="H35" s="217"/>
      <c r="I35" s="235"/>
      <c r="J35" s="268"/>
      <c r="K35" s="217"/>
      <c r="L35" s="271"/>
      <c r="M35" s="295"/>
      <c r="N35" s="274"/>
      <c r="O35" s="272"/>
      <c r="P35" s="272"/>
      <c r="Q35" s="40">
        <v>21</v>
      </c>
      <c r="R35" s="44" t="s">
        <v>277</v>
      </c>
      <c r="S35" s="142" t="s">
        <v>278</v>
      </c>
      <c r="T35" s="47" t="s">
        <v>279</v>
      </c>
      <c r="U35" s="182" t="s">
        <v>34</v>
      </c>
      <c r="V35" s="27">
        <v>0.18</v>
      </c>
      <c r="W35" s="99">
        <v>2016</v>
      </c>
      <c r="X35" s="28">
        <v>0.25</v>
      </c>
      <c r="Y35" s="100">
        <v>0.19</v>
      </c>
      <c r="Z35" s="102">
        <v>0.2</v>
      </c>
      <c r="AA35" s="108">
        <v>0.22</v>
      </c>
      <c r="AB35" s="28">
        <f>1004/4442</f>
        <v>0.22602431337235479</v>
      </c>
      <c r="AC35" s="100">
        <v>0.24</v>
      </c>
      <c r="AD35" s="301">
        <f>1068/4391</f>
        <v>0.24322477795490777</v>
      </c>
      <c r="AE35" s="196">
        <v>0.25</v>
      </c>
      <c r="AF35" s="29"/>
      <c r="AG35" s="35" t="s">
        <v>71</v>
      </c>
    </row>
    <row r="36" spans="1:33" s="31" customFormat="1" ht="94.5" customHeight="1" x14ac:dyDescent="0.2">
      <c r="A36" s="222"/>
      <c r="B36" s="222"/>
      <c r="C36" s="252"/>
      <c r="D36" s="252"/>
      <c r="E36" s="221"/>
      <c r="F36" s="222"/>
      <c r="G36" s="222"/>
      <c r="H36" s="222"/>
      <c r="I36" s="252"/>
      <c r="J36" s="269"/>
      <c r="K36" s="222"/>
      <c r="L36" s="271"/>
      <c r="M36" s="296"/>
      <c r="N36" s="275"/>
      <c r="O36" s="273"/>
      <c r="P36" s="273"/>
      <c r="Q36" s="40">
        <v>22</v>
      </c>
      <c r="R36" s="179" t="s">
        <v>396</v>
      </c>
      <c r="S36" s="24" t="s">
        <v>118</v>
      </c>
      <c r="T36" s="47" t="s">
        <v>114</v>
      </c>
      <c r="U36" s="182" t="s">
        <v>34</v>
      </c>
      <c r="V36" s="36">
        <f>56/1300</f>
        <v>4.3076923076923075E-2</v>
      </c>
      <c r="W36" s="99">
        <v>2016</v>
      </c>
      <c r="X36" s="28">
        <v>4.2000000000000003E-2</v>
      </c>
      <c r="Y36" s="152">
        <v>3.56E-2</v>
      </c>
      <c r="Z36" s="36">
        <v>3.56E-2</v>
      </c>
      <c r="AA36" s="108">
        <v>0.03</v>
      </c>
      <c r="AB36" s="165">
        <f>74/1422</f>
        <v>5.2039381153305204E-2</v>
      </c>
      <c r="AC36" s="164">
        <v>0.04</v>
      </c>
      <c r="AD36" s="302">
        <f>55/1407</f>
        <v>3.9090262970859983E-2</v>
      </c>
      <c r="AE36" s="156">
        <v>0.04</v>
      </c>
      <c r="AF36" s="29" t="s">
        <v>55</v>
      </c>
      <c r="AG36" s="35" t="s">
        <v>71</v>
      </c>
    </row>
    <row r="37" spans="1:33" s="31" customFormat="1" ht="129" customHeight="1" x14ac:dyDescent="0.2">
      <c r="A37" s="29" t="s">
        <v>119</v>
      </c>
      <c r="B37" s="24" t="s">
        <v>48</v>
      </c>
      <c r="C37" s="252" t="s">
        <v>120</v>
      </c>
      <c r="D37" s="252"/>
      <c r="E37" s="41">
        <v>12</v>
      </c>
      <c r="F37" s="45" t="s">
        <v>264</v>
      </c>
      <c r="G37" s="45" t="s">
        <v>121</v>
      </c>
      <c r="H37" s="24" t="s">
        <v>122</v>
      </c>
      <c r="I37" s="46" t="s">
        <v>91</v>
      </c>
      <c r="J37" s="29">
        <v>0</v>
      </c>
      <c r="K37" s="29">
        <v>2016</v>
      </c>
      <c r="L37" s="170">
        <v>0</v>
      </c>
      <c r="M37" s="97">
        <v>0</v>
      </c>
      <c r="N37" s="173">
        <v>1</v>
      </c>
      <c r="O37" s="47" t="s">
        <v>346</v>
      </c>
      <c r="P37" s="47" t="s">
        <v>347</v>
      </c>
      <c r="Q37" s="40">
        <v>23</v>
      </c>
      <c r="R37" s="180" t="s">
        <v>123</v>
      </c>
      <c r="S37" s="29" t="s">
        <v>289</v>
      </c>
      <c r="T37" s="47" t="s">
        <v>290</v>
      </c>
      <c r="U37" s="181" t="s">
        <v>34</v>
      </c>
      <c r="V37" s="48">
        <v>1</v>
      </c>
      <c r="W37" s="97">
        <v>2016</v>
      </c>
      <c r="X37" s="28">
        <v>1</v>
      </c>
      <c r="Y37" s="100">
        <v>1</v>
      </c>
      <c r="Z37" s="102">
        <v>1</v>
      </c>
      <c r="AA37" s="100">
        <v>1</v>
      </c>
      <c r="AB37" s="102">
        <f>14/14</f>
        <v>1</v>
      </c>
      <c r="AC37" s="100">
        <v>1</v>
      </c>
      <c r="AD37" s="301">
        <f>14/14</f>
        <v>1</v>
      </c>
      <c r="AE37" s="196">
        <v>1</v>
      </c>
      <c r="AF37" s="29" t="s">
        <v>124</v>
      </c>
      <c r="AG37" s="35" t="s">
        <v>71</v>
      </c>
    </row>
    <row r="38" spans="1:33" s="31" customFormat="1" ht="119.25" customHeight="1" x14ac:dyDescent="0.2">
      <c r="A38" s="217" t="s">
        <v>37</v>
      </c>
      <c r="B38" s="217" t="s">
        <v>48</v>
      </c>
      <c r="C38" s="235" t="s">
        <v>112</v>
      </c>
      <c r="D38" s="235"/>
      <c r="E38" s="198">
        <v>13</v>
      </c>
      <c r="F38" s="222" t="s">
        <v>348</v>
      </c>
      <c r="G38" s="222" t="s">
        <v>125</v>
      </c>
      <c r="H38" s="222" t="s">
        <v>126</v>
      </c>
      <c r="I38" s="252" t="s">
        <v>91</v>
      </c>
      <c r="J38" s="222">
        <v>1</v>
      </c>
      <c r="K38" s="222">
        <v>2016</v>
      </c>
      <c r="L38" s="236">
        <v>0</v>
      </c>
      <c r="M38" s="222">
        <v>0</v>
      </c>
      <c r="N38" s="276">
        <v>1</v>
      </c>
      <c r="O38" s="270" t="s">
        <v>350</v>
      </c>
      <c r="P38" s="270" t="s">
        <v>349</v>
      </c>
      <c r="Q38" s="40">
        <v>24</v>
      </c>
      <c r="R38" s="49" t="s">
        <v>291</v>
      </c>
      <c r="S38" s="29" t="s">
        <v>127</v>
      </c>
      <c r="T38" s="47" t="s">
        <v>128</v>
      </c>
      <c r="U38" s="181" t="s">
        <v>129</v>
      </c>
      <c r="V38" s="29">
        <v>0</v>
      </c>
      <c r="W38" s="97">
        <v>2017</v>
      </c>
      <c r="X38" s="28">
        <v>0</v>
      </c>
      <c r="Y38" s="100">
        <v>0</v>
      </c>
      <c r="Z38" s="102">
        <v>0</v>
      </c>
      <c r="AA38" s="108">
        <v>0</v>
      </c>
      <c r="AB38" s="28">
        <f>0/17</f>
        <v>0</v>
      </c>
      <c r="AC38" s="100" t="s">
        <v>242</v>
      </c>
      <c r="AD38" s="301">
        <f>0/33</f>
        <v>0</v>
      </c>
      <c r="AE38" s="196" t="s">
        <v>242</v>
      </c>
      <c r="AF38" s="29" t="s">
        <v>124</v>
      </c>
      <c r="AG38" s="35" t="s">
        <v>71</v>
      </c>
    </row>
    <row r="39" spans="1:33" s="31" customFormat="1" ht="173.25" customHeight="1" x14ac:dyDescent="0.2">
      <c r="A39" s="217"/>
      <c r="B39" s="217"/>
      <c r="C39" s="235"/>
      <c r="D39" s="235"/>
      <c r="E39" s="218"/>
      <c r="F39" s="222"/>
      <c r="G39" s="222"/>
      <c r="H39" s="222"/>
      <c r="I39" s="252"/>
      <c r="J39" s="222"/>
      <c r="K39" s="222"/>
      <c r="L39" s="236"/>
      <c r="M39" s="222"/>
      <c r="N39" s="277"/>
      <c r="O39" s="270"/>
      <c r="P39" s="270"/>
      <c r="Q39" s="40">
        <v>25</v>
      </c>
      <c r="R39" s="49" t="s">
        <v>292</v>
      </c>
      <c r="S39" s="29" t="s">
        <v>130</v>
      </c>
      <c r="T39" s="47" t="s">
        <v>243</v>
      </c>
      <c r="U39" s="181" t="s">
        <v>44</v>
      </c>
      <c r="V39" s="48">
        <v>0.79</v>
      </c>
      <c r="W39" s="97">
        <v>2016</v>
      </c>
      <c r="X39" s="28">
        <v>0.85</v>
      </c>
      <c r="Y39" s="146">
        <v>0.8</v>
      </c>
      <c r="Z39" s="144">
        <v>0.8</v>
      </c>
      <c r="AA39" s="108">
        <v>0.82</v>
      </c>
      <c r="AB39" s="28">
        <f>268/324</f>
        <v>0.8271604938271605</v>
      </c>
      <c r="AC39" s="146">
        <v>0.84</v>
      </c>
      <c r="AD39" s="301">
        <f>252/294</f>
        <v>0.8571428571428571</v>
      </c>
      <c r="AE39" s="196">
        <v>0.85</v>
      </c>
      <c r="AF39" s="29" t="s">
        <v>124</v>
      </c>
      <c r="AG39" s="35" t="s">
        <v>71</v>
      </c>
    </row>
    <row r="40" spans="1:33" s="31" customFormat="1" ht="100.5" customHeight="1" x14ac:dyDescent="0.2">
      <c r="A40" s="217"/>
      <c r="B40" s="217"/>
      <c r="C40" s="235"/>
      <c r="D40" s="235"/>
      <c r="E40" s="218"/>
      <c r="F40" s="222"/>
      <c r="G40" s="222"/>
      <c r="H40" s="222"/>
      <c r="I40" s="252"/>
      <c r="J40" s="222"/>
      <c r="K40" s="222"/>
      <c r="L40" s="236"/>
      <c r="M40" s="222"/>
      <c r="N40" s="277"/>
      <c r="O40" s="270"/>
      <c r="P40" s="270"/>
      <c r="Q40" s="40">
        <v>26</v>
      </c>
      <c r="R40" s="49" t="s">
        <v>397</v>
      </c>
      <c r="S40" s="41" t="s">
        <v>131</v>
      </c>
      <c r="T40" s="47" t="s">
        <v>132</v>
      </c>
      <c r="U40" s="181" t="s">
        <v>34</v>
      </c>
      <c r="V40" s="66">
        <v>0.57999999999999996</v>
      </c>
      <c r="W40" s="97">
        <v>2017</v>
      </c>
      <c r="X40" s="28">
        <v>0.65</v>
      </c>
      <c r="Y40" s="100">
        <v>0.57999999999999996</v>
      </c>
      <c r="Z40" s="144">
        <v>0.57999999999999996</v>
      </c>
      <c r="AA40" s="108">
        <v>0.6</v>
      </c>
      <c r="AB40" s="28">
        <f>1047/1733</f>
        <v>0.60415464512406236</v>
      </c>
      <c r="AC40" s="100">
        <v>0.63</v>
      </c>
      <c r="AD40" s="301">
        <f>1167/1796</f>
        <v>0.64977728285077951</v>
      </c>
      <c r="AE40" s="196">
        <v>0.74</v>
      </c>
      <c r="AF40" s="41" t="s">
        <v>124</v>
      </c>
      <c r="AG40" s="35" t="s">
        <v>71</v>
      </c>
    </row>
    <row r="41" spans="1:33" s="31" customFormat="1" ht="66.75" customHeight="1" x14ac:dyDescent="0.2">
      <c r="A41" s="217"/>
      <c r="B41" s="217" t="s">
        <v>48</v>
      </c>
      <c r="C41" s="235"/>
      <c r="D41" s="235"/>
      <c r="E41" s="199"/>
      <c r="F41" s="222"/>
      <c r="G41" s="222"/>
      <c r="H41" s="222" t="s">
        <v>126</v>
      </c>
      <c r="I41" s="252" t="s">
        <v>91</v>
      </c>
      <c r="J41" s="222">
        <v>1</v>
      </c>
      <c r="K41" s="222"/>
      <c r="L41" s="236"/>
      <c r="M41" s="222"/>
      <c r="N41" s="277"/>
      <c r="O41" s="270"/>
      <c r="P41" s="270"/>
      <c r="Q41" s="40">
        <v>27</v>
      </c>
      <c r="R41" s="49" t="s">
        <v>245</v>
      </c>
      <c r="S41" s="85" t="s">
        <v>246</v>
      </c>
      <c r="T41" s="160" t="s">
        <v>247</v>
      </c>
      <c r="U41" s="188" t="s">
        <v>34</v>
      </c>
      <c r="V41" s="75">
        <v>1</v>
      </c>
      <c r="W41" s="97">
        <v>2017</v>
      </c>
      <c r="X41" s="28">
        <v>1</v>
      </c>
      <c r="Y41" s="100">
        <f>45/45</f>
        <v>1</v>
      </c>
      <c r="Z41" s="102">
        <f>45/45</f>
        <v>1</v>
      </c>
      <c r="AA41" s="108">
        <v>1</v>
      </c>
      <c r="AB41" s="28">
        <f>24/24</f>
        <v>1</v>
      </c>
      <c r="AC41" s="100">
        <v>1</v>
      </c>
      <c r="AD41" s="301">
        <f>24/24</f>
        <v>1</v>
      </c>
      <c r="AE41" s="196">
        <v>1</v>
      </c>
      <c r="AF41" s="29" t="s">
        <v>124</v>
      </c>
      <c r="AG41" s="35" t="s">
        <v>71</v>
      </c>
    </row>
    <row r="42" spans="1:33" s="31" customFormat="1" ht="137.25" customHeight="1" x14ac:dyDescent="0.2">
      <c r="A42" s="29" t="s">
        <v>119</v>
      </c>
      <c r="B42" s="24" t="s">
        <v>48</v>
      </c>
      <c r="C42" s="252" t="s">
        <v>120</v>
      </c>
      <c r="D42" s="252"/>
      <c r="E42" s="41">
        <v>14</v>
      </c>
      <c r="F42" s="178" t="s">
        <v>265</v>
      </c>
      <c r="G42" s="29" t="s">
        <v>133</v>
      </c>
      <c r="H42" s="29" t="s">
        <v>134</v>
      </c>
      <c r="I42" s="25" t="s">
        <v>34</v>
      </c>
      <c r="J42" s="154">
        <v>1</v>
      </c>
      <c r="K42" s="29">
        <v>2016</v>
      </c>
      <c r="L42" s="169">
        <v>1</v>
      </c>
      <c r="M42" s="154">
        <f>1/2</f>
        <v>0.5</v>
      </c>
      <c r="N42" s="173">
        <f>M42/L42</f>
        <v>0.5</v>
      </c>
      <c r="O42" s="47" t="s">
        <v>374</v>
      </c>
      <c r="P42" s="47" t="s">
        <v>351</v>
      </c>
      <c r="Q42" s="40">
        <v>28</v>
      </c>
      <c r="R42" s="180" t="s">
        <v>293</v>
      </c>
      <c r="S42" s="29" t="s">
        <v>135</v>
      </c>
      <c r="T42" s="47" t="s">
        <v>135</v>
      </c>
      <c r="U42" s="181" t="s">
        <v>136</v>
      </c>
      <c r="V42" s="29">
        <v>0</v>
      </c>
      <c r="W42" s="97">
        <v>2017</v>
      </c>
      <c r="X42" s="117">
        <v>2</v>
      </c>
      <c r="Y42" s="128">
        <v>0</v>
      </c>
      <c r="Z42" s="129">
        <v>0</v>
      </c>
      <c r="AA42" s="101">
        <v>1</v>
      </c>
      <c r="AB42" s="99">
        <v>1</v>
      </c>
      <c r="AC42" s="128">
        <v>2</v>
      </c>
      <c r="AD42" s="307">
        <v>1</v>
      </c>
      <c r="AE42" s="195">
        <v>2</v>
      </c>
      <c r="AF42" s="41" t="s">
        <v>137</v>
      </c>
      <c r="AG42" s="43" t="s">
        <v>244</v>
      </c>
    </row>
    <row r="43" spans="1:33" s="31" customFormat="1" ht="129" customHeight="1" x14ac:dyDescent="0.2">
      <c r="A43" s="24" t="s">
        <v>138</v>
      </c>
      <c r="B43" s="34" t="s">
        <v>48</v>
      </c>
      <c r="C43" s="235" t="s">
        <v>139</v>
      </c>
      <c r="D43" s="235"/>
      <c r="E43" s="39">
        <v>15</v>
      </c>
      <c r="F43" s="177" t="s">
        <v>266</v>
      </c>
      <c r="G43" s="24" t="s">
        <v>140</v>
      </c>
      <c r="H43" s="24" t="s">
        <v>141</v>
      </c>
      <c r="I43" s="26" t="s">
        <v>34</v>
      </c>
      <c r="J43" s="24">
        <v>0</v>
      </c>
      <c r="K43" s="24">
        <v>2016</v>
      </c>
      <c r="L43" s="169">
        <v>1</v>
      </c>
      <c r="M43" s="153">
        <f>6/6</f>
        <v>1</v>
      </c>
      <c r="N43" s="173">
        <f>M43/L43</f>
        <v>1</v>
      </c>
      <c r="O43" s="53" t="s">
        <v>352</v>
      </c>
      <c r="P43" s="53" t="s">
        <v>353</v>
      </c>
      <c r="Q43" s="40">
        <v>29</v>
      </c>
      <c r="R43" s="179" t="s">
        <v>294</v>
      </c>
      <c r="S43" s="24" t="s">
        <v>142</v>
      </c>
      <c r="T43" s="47" t="s">
        <v>143</v>
      </c>
      <c r="U43" s="182" t="s">
        <v>34</v>
      </c>
      <c r="V43" s="24">
        <v>0</v>
      </c>
      <c r="W43" s="99">
        <v>2016</v>
      </c>
      <c r="X43" s="28">
        <v>1</v>
      </c>
      <c r="Y43" s="110">
        <v>0.9</v>
      </c>
      <c r="Z43" s="87">
        <v>0.9</v>
      </c>
      <c r="AA43" s="100">
        <v>1</v>
      </c>
      <c r="AB43" s="102">
        <f>18/18</f>
        <v>1</v>
      </c>
      <c r="AC43" s="110">
        <v>1</v>
      </c>
      <c r="AD43" s="308">
        <f>6/6</f>
        <v>1</v>
      </c>
      <c r="AE43" s="196">
        <v>1</v>
      </c>
      <c r="AF43" s="29" t="s">
        <v>107</v>
      </c>
      <c r="AG43" s="43" t="s">
        <v>108</v>
      </c>
    </row>
    <row r="44" spans="1:33" s="31" customFormat="1" ht="148.5" customHeight="1" x14ac:dyDescent="0.2">
      <c r="A44" s="29" t="s">
        <v>37</v>
      </c>
      <c r="B44" s="34" t="s">
        <v>48</v>
      </c>
      <c r="C44" s="252" t="s">
        <v>144</v>
      </c>
      <c r="D44" s="252"/>
      <c r="E44" s="41">
        <v>16</v>
      </c>
      <c r="F44" s="45" t="s">
        <v>267</v>
      </c>
      <c r="G44" s="45" t="s">
        <v>145</v>
      </c>
      <c r="H44" s="29" t="s">
        <v>146</v>
      </c>
      <c r="I44" s="46" t="s">
        <v>91</v>
      </c>
      <c r="J44" s="24">
        <v>0</v>
      </c>
      <c r="K44" s="29">
        <v>2016</v>
      </c>
      <c r="L44" s="170">
        <v>0</v>
      </c>
      <c r="M44" s="99">
        <v>0</v>
      </c>
      <c r="N44" s="172">
        <v>1</v>
      </c>
      <c r="O44" s="42" t="s">
        <v>354</v>
      </c>
      <c r="P44" s="167" t="s">
        <v>327</v>
      </c>
      <c r="Q44" s="40">
        <v>30</v>
      </c>
      <c r="R44" s="49" t="s">
        <v>295</v>
      </c>
      <c r="S44" s="145" t="s">
        <v>147</v>
      </c>
      <c r="T44" s="47" t="s">
        <v>296</v>
      </c>
      <c r="U44" s="181" t="s">
        <v>34</v>
      </c>
      <c r="V44" s="48">
        <v>0.95</v>
      </c>
      <c r="W44" s="97">
        <v>2017</v>
      </c>
      <c r="X44" s="58">
        <v>0.95</v>
      </c>
      <c r="Y44" s="100">
        <v>0.95</v>
      </c>
      <c r="Z44" s="102">
        <v>0.95</v>
      </c>
      <c r="AA44" s="108">
        <v>0.95</v>
      </c>
      <c r="AB44" s="28">
        <v>0.9</v>
      </c>
      <c r="AC44" s="100">
        <v>0.95</v>
      </c>
      <c r="AD44" s="303">
        <v>0.91</v>
      </c>
      <c r="AE44" s="196">
        <v>0.95</v>
      </c>
      <c r="AF44" s="29" t="s">
        <v>124</v>
      </c>
      <c r="AG44" s="35" t="s">
        <v>71</v>
      </c>
    </row>
    <row r="45" spans="1:33" s="52" customFormat="1" ht="113.25" customHeight="1" x14ac:dyDescent="0.2">
      <c r="A45" s="50"/>
      <c r="B45" s="51" t="s">
        <v>148</v>
      </c>
      <c r="C45" s="278" t="s">
        <v>144</v>
      </c>
      <c r="D45" s="278"/>
      <c r="E45" s="41">
        <v>17</v>
      </c>
      <c r="F45" s="45" t="s">
        <v>317</v>
      </c>
      <c r="G45" s="45" t="s">
        <v>318</v>
      </c>
      <c r="H45" s="29" t="s">
        <v>319</v>
      </c>
      <c r="I45" s="46" t="s">
        <v>44</v>
      </c>
      <c r="J45" s="39">
        <v>0</v>
      </c>
      <c r="K45" s="41">
        <v>2018</v>
      </c>
      <c r="L45" s="170">
        <v>1</v>
      </c>
      <c r="M45" s="150">
        <v>1</v>
      </c>
      <c r="N45" s="172">
        <f>M45/L45</f>
        <v>1</v>
      </c>
      <c r="O45" s="168" t="s">
        <v>380</v>
      </c>
      <c r="P45" s="168" t="s">
        <v>379</v>
      </c>
      <c r="Q45" s="40">
        <v>31</v>
      </c>
      <c r="R45" s="45" t="s">
        <v>317</v>
      </c>
      <c r="S45" s="45" t="s">
        <v>318</v>
      </c>
      <c r="T45" s="151" t="s">
        <v>319</v>
      </c>
      <c r="U45" s="46" t="s">
        <v>44</v>
      </c>
      <c r="V45" s="39">
        <v>0</v>
      </c>
      <c r="W45" s="97">
        <v>2018</v>
      </c>
      <c r="X45" s="54">
        <v>1</v>
      </c>
      <c r="Y45" s="130">
        <v>0</v>
      </c>
      <c r="Z45" s="104">
        <v>0</v>
      </c>
      <c r="AA45" s="130">
        <v>0</v>
      </c>
      <c r="AB45" s="99">
        <v>0</v>
      </c>
      <c r="AC45" s="101">
        <v>1</v>
      </c>
      <c r="AD45" s="309">
        <v>1</v>
      </c>
      <c r="AE45" s="195">
        <v>1</v>
      </c>
      <c r="AF45" s="29" t="s">
        <v>124</v>
      </c>
      <c r="AG45" s="35" t="s">
        <v>71</v>
      </c>
    </row>
    <row r="46" spans="1:33" s="52" customFormat="1" ht="138" customHeight="1" x14ac:dyDescent="0.2">
      <c r="A46" s="50"/>
      <c r="B46" s="51" t="s">
        <v>148</v>
      </c>
      <c r="C46" s="278" t="s">
        <v>144</v>
      </c>
      <c r="D46" s="278"/>
      <c r="E46" s="41">
        <v>18</v>
      </c>
      <c r="F46" s="45" t="s">
        <v>387</v>
      </c>
      <c r="G46" s="45" t="s">
        <v>150</v>
      </c>
      <c r="H46" s="29" t="s">
        <v>320</v>
      </c>
      <c r="I46" s="46" t="s">
        <v>34</v>
      </c>
      <c r="J46" s="96">
        <f>41/1733</f>
        <v>2.3658395845354875E-2</v>
      </c>
      <c r="K46" s="41">
        <v>2018</v>
      </c>
      <c r="L46" s="171">
        <v>0.04</v>
      </c>
      <c r="M46" s="166">
        <f>69/2073</f>
        <v>3.3285094066570188E-2</v>
      </c>
      <c r="N46" s="174">
        <f>M46/L46</f>
        <v>0.83212735166425467</v>
      </c>
      <c r="O46" s="168" t="s">
        <v>377</v>
      </c>
      <c r="P46" s="168" t="s">
        <v>378</v>
      </c>
      <c r="Q46" s="40">
        <v>32</v>
      </c>
      <c r="R46" s="45" t="s">
        <v>149</v>
      </c>
      <c r="S46" s="45" t="s">
        <v>150</v>
      </c>
      <c r="T46" s="47" t="s">
        <v>297</v>
      </c>
      <c r="U46" s="46" t="s">
        <v>34</v>
      </c>
      <c r="V46" s="65">
        <f>41/1733</f>
        <v>2.3658395845354875E-2</v>
      </c>
      <c r="W46" s="97">
        <v>2018</v>
      </c>
      <c r="X46" s="96">
        <v>0.06</v>
      </c>
      <c r="Y46" s="130">
        <v>0</v>
      </c>
      <c r="Z46" s="104">
        <v>0</v>
      </c>
      <c r="AA46" s="130">
        <v>0</v>
      </c>
      <c r="AB46" s="103">
        <f>41/1733</f>
        <v>2.3658395845354875E-2</v>
      </c>
      <c r="AC46" s="115">
        <v>0.03</v>
      </c>
      <c r="AD46" s="310">
        <f>69/2073</f>
        <v>3.3285094066570188E-2</v>
      </c>
      <c r="AE46" s="194">
        <v>0.04</v>
      </c>
      <c r="AF46" s="41" t="s">
        <v>124</v>
      </c>
      <c r="AG46" s="35" t="s">
        <v>71</v>
      </c>
    </row>
    <row r="47" spans="1:33" s="31" customFormat="1" ht="135" customHeight="1" x14ac:dyDescent="0.2">
      <c r="A47" s="24" t="s">
        <v>151</v>
      </c>
      <c r="B47" s="24" t="s">
        <v>48</v>
      </c>
      <c r="C47" s="235" t="s">
        <v>152</v>
      </c>
      <c r="D47" s="235"/>
      <c r="E47" s="39">
        <v>19</v>
      </c>
      <c r="F47" s="179" t="s">
        <v>298</v>
      </c>
      <c r="G47" s="150" t="s">
        <v>153</v>
      </c>
      <c r="H47" s="47" t="s">
        <v>299</v>
      </c>
      <c r="I47" s="26" t="s">
        <v>34</v>
      </c>
      <c r="J47" s="24">
        <v>0</v>
      </c>
      <c r="K47" s="24">
        <v>2016</v>
      </c>
      <c r="L47" s="169">
        <v>0.9</v>
      </c>
      <c r="M47" s="102">
        <f>42/43</f>
        <v>0.97674418604651159</v>
      </c>
      <c r="N47" s="172">
        <v>1</v>
      </c>
      <c r="O47" s="53" t="s">
        <v>356</v>
      </c>
      <c r="P47" s="53" t="s">
        <v>355</v>
      </c>
      <c r="Q47" s="40">
        <v>33</v>
      </c>
      <c r="R47" s="179" t="s">
        <v>298</v>
      </c>
      <c r="S47" s="24" t="s">
        <v>153</v>
      </c>
      <c r="T47" s="47" t="s">
        <v>299</v>
      </c>
      <c r="U47" s="182" t="s">
        <v>34</v>
      </c>
      <c r="V47" s="27">
        <v>0.3</v>
      </c>
      <c r="W47" s="99">
        <v>2017</v>
      </c>
      <c r="X47" s="96">
        <v>0.9</v>
      </c>
      <c r="Y47" s="157">
        <v>0.3</v>
      </c>
      <c r="Z47" s="158">
        <v>0.3</v>
      </c>
      <c r="AA47" s="130">
        <v>0.85</v>
      </c>
      <c r="AB47" s="143">
        <f>6/7</f>
        <v>0.8571428571428571</v>
      </c>
      <c r="AC47" s="115">
        <v>0.9</v>
      </c>
      <c r="AD47" s="301">
        <f>42/43</f>
        <v>0.97674418604651159</v>
      </c>
      <c r="AE47" s="196">
        <v>0.9</v>
      </c>
      <c r="AF47" s="29" t="s">
        <v>154</v>
      </c>
      <c r="AG47" s="88" t="s">
        <v>252</v>
      </c>
    </row>
    <row r="48" spans="1:33" s="31" customFormat="1" ht="86.25" customHeight="1" x14ac:dyDescent="0.2">
      <c r="A48" s="217" t="s">
        <v>151</v>
      </c>
      <c r="B48" s="217" t="s">
        <v>48</v>
      </c>
      <c r="C48" s="235" t="s">
        <v>152</v>
      </c>
      <c r="D48" s="235"/>
      <c r="E48" s="217">
        <v>20</v>
      </c>
      <c r="F48" s="217" t="s">
        <v>321</v>
      </c>
      <c r="G48" s="217" t="s">
        <v>155</v>
      </c>
      <c r="H48" s="217" t="s">
        <v>156</v>
      </c>
      <c r="I48" s="235" t="s">
        <v>34</v>
      </c>
      <c r="J48" s="279">
        <v>0.1</v>
      </c>
      <c r="K48" s="217">
        <v>2016</v>
      </c>
      <c r="L48" s="280">
        <v>0.9</v>
      </c>
      <c r="M48" s="279">
        <v>0.93</v>
      </c>
      <c r="N48" s="283">
        <f>M48/L48</f>
        <v>1.0333333333333334</v>
      </c>
      <c r="O48" s="281" t="s">
        <v>357</v>
      </c>
      <c r="P48" s="281" t="s">
        <v>358</v>
      </c>
      <c r="Q48" s="40">
        <v>34</v>
      </c>
      <c r="R48" s="179" t="s">
        <v>300</v>
      </c>
      <c r="S48" s="24" t="s">
        <v>157</v>
      </c>
      <c r="T48" s="47" t="s">
        <v>158</v>
      </c>
      <c r="U48" s="182" t="s">
        <v>34</v>
      </c>
      <c r="V48" s="27">
        <v>0.2</v>
      </c>
      <c r="W48" s="99">
        <v>2017</v>
      </c>
      <c r="X48" s="96">
        <v>0.85</v>
      </c>
      <c r="Y48" s="100">
        <v>0.2</v>
      </c>
      <c r="Z48" s="102">
        <v>0.2</v>
      </c>
      <c r="AA48" s="108">
        <v>0.8</v>
      </c>
      <c r="AB48" s="28">
        <f>38/46</f>
        <v>0.82608695652173914</v>
      </c>
      <c r="AC48" s="100">
        <v>0.85</v>
      </c>
      <c r="AD48" s="301">
        <f>36/41</f>
        <v>0.87804878048780488</v>
      </c>
      <c r="AE48" s="196">
        <v>0.87</v>
      </c>
      <c r="AF48" s="29" t="s">
        <v>249</v>
      </c>
      <c r="AG48" s="86" t="s">
        <v>248</v>
      </c>
    </row>
    <row r="49" spans="1:34" s="31" customFormat="1" ht="95.25" customHeight="1" x14ac:dyDescent="0.2">
      <c r="A49" s="217"/>
      <c r="B49" s="217"/>
      <c r="C49" s="235"/>
      <c r="D49" s="235"/>
      <c r="E49" s="217"/>
      <c r="F49" s="217" t="s">
        <v>159</v>
      </c>
      <c r="G49" s="217" t="s">
        <v>155</v>
      </c>
      <c r="H49" s="217" t="s">
        <v>156</v>
      </c>
      <c r="I49" s="235" t="s">
        <v>34</v>
      </c>
      <c r="J49" s="217" t="s">
        <v>160</v>
      </c>
      <c r="K49" s="217">
        <v>2016</v>
      </c>
      <c r="L49" s="236" t="s">
        <v>160</v>
      </c>
      <c r="M49" s="217"/>
      <c r="N49" s="284"/>
      <c r="O49" s="234"/>
      <c r="P49" s="234"/>
      <c r="Q49" s="40">
        <v>35</v>
      </c>
      <c r="R49" s="179" t="s">
        <v>161</v>
      </c>
      <c r="S49" s="24" t="s">
        <v>162</v>
      </c>
      <c r="T49" s="47" t="s">
        <v>163</v>
      </c>
      <c r="U49" s="182" t="s">
        <v>34</v>
      </c>
      <c r="V49" s="27">
        <v>0.9</v>
      </c>
      <c r="W49" s="99">
        <v>2016</v>
      </c>
      <c r="X49" s="96">
        <v>0.9</v>
      </c>
      <c r="Y49" s="146">
        <v>0.9</v>
      </c>
      <c r="Z49" s="144">
        <v>0.9</v>
      </c>
      <c r="AA49" s="108">
        <v>0.9</v>
      </c>
      <c r="AB49" s="28">
        <f>27/29</f>
        <v>0.93103448275862066</v>
      </c>
      <c r="AC49" s="146" t="s">
        <v>77</v>
      </c>
      <c r="AD49" s="301">
        <f>32/34</f>
        <v>0.94117647058823528</v>
      </c>
      <c r="AE49" s="196" t="s">
        <v>77</v>
      </c>
      <c r="AF49" s="41" t="s">
        <v>249</v>
      </c>
      <c r="AG49" s="86" t="s">
        <v>248</v>
      </c>
    </row>
    <row r="50" spans="1:34" s="31" customFormat="1" ht="126" customHeight="1" x14ac:dyDescent="0.2">
      <c r="A50" s="217"/>
      <c r="B50" s="217"/>
      <c r="C50" s="235"/>
      <c r="D50" s="235"/>
      <c r="E50" s="217"/>
      <c r="F50" s="217"/>
      <c r="G50" s="217"/>
      <c r="H50" s="217"/>
      <c r="I50" s="235"/>
      <c r="J50" s="217"/>
      <c r="K50" s="217"/>
      <c r="L50" s="236"/>
      <c r="M50" s="217"/>
      <c r="N50" s="284"/>
      <c r="O50" s="234"/>
      <c r="P50" s="234"/>
      <c r="Q50" s="40">
        <v>36</v>
      </c>
      <c r="R50" s="183" t="s">
        <v>164</v>
      </c>
      <c r="S50" s="145" t="s">
        <v>301</v>
      </c>
      <c r="T50" s="47" t="s">
        <v>302</v>
      </c>
      <c r="U50" s="182" t="s">
        <v>34</v>
      </c>
      <c r="V50" s="24">
        <v>50</v>
      </c>
      <c r="W50" s="99">
        <v>2016</v>
      </c>
      <c r="X50" s="96">
        <v>1</v>
      </c>
      <c r="Y50" s="146">
        <v>0.5</v>
      </c>
      <c r="Z50" s="144">
        <v>0.5</v>
      </c>
      <c r="AA50" s="108">
        <v>1</v>
      </c>
      <c r="AB50" s="28">
        <f>6/6</f>
        <v>1</v>
      </c>
      <c r="AC50" s="146">
        <v>1</v>
      </c>
      <c r="AD50" s="301">
        <f>4/4</f>
        <v>1</v>
      </c>
      <c r="AE50" s="196">
        <v>1</v>
      </c>
      <c r="AF50" s="41" t="s">
        <v>249</v>
      </c>
      <c r="AG50" s="86" t="s">
        <v>248</v>
      </c>
    </row>
    <row r="51" spans="1:34" s="31" customFormat="1" ht="90.75" customHeight="1" x14ac:dyDescent="0.2">
      <c r="A51" s="217"/>
      <c r="B51" s="217"/>
      <c r="C51" s="235"/>
      <c r="D51" s="235"/>
      <c r="E51" s="217"/>
      <c r="F51" s="217"/>
      <c r="G51" s="217"/>
      <c r="H51" s="217"/>
      <c r="I51" s="235"/>
      <c r="J51" s="217"/>
      <c r="K51" s="217"/>
      <c r="L51" s="236"/>
      <c r="M51" s="217"/>
      <c r="N51" s="284"/>
      <c r="O51" s="234"/>
      <c r="P51" s="234"/>
      <c r="Q51" s="40">
        <v>37</v>
      </c>
      <c r="R51" s="183" t="s">
        <v>165</v>
      </c>
      <c r="S51" s="145" t="s">
        <v>166</v>
      </c>
      <c r="T51" s="47" t="s">
        <v>167</v>
      </c>
      <c r="U51" s="182" t="s">
        <v>34</v>
      </c>
      <c r="V51" s="27">
        <v>0.95</v>
      </c>
      <c r="W51" s="99">
        <v>2017</v>
      </c>
      <c r="X51" s="96">
        <v>0.95</v>
      </c>
      <c r="Y51" s="146">
        <v>0.95</v>
      </c>
      <c r="Z51" s="144">
        <v>0.95</v>
      </c>
      <c r="AA51" s="108">
        <v>0.95</v>
      </c>
      <c r="AB51" s="28">
        <f>1015/1040</f>
        <v>0.97596153846153844</v>
      </c>
      <c r="AC51" s="146">
        <v>0.95</v>
      </c>
      <c r="AD51" s="301">
        <f>1904/1951</f>
        <v>0.97590978985135823</v>
      </c>
      <c r="AE51" s="196">
        <v>0.95</v>
      </c>
      <c r="AF51" s="41" t="s">
        <v>154</v>
      </c>
      <c r="AG51" s="88" t="s">
        <v>252</v>
      </c>
    </row>
    <row r="52" spans="1:34" s="31" customFormat="1" ht="123" customHeight="1" x14ac:dyDescent="0.2">
      <c r="A52" s="217"/>
      <c r="B52" s="217"/>
      <c r="C52" s="235"/>
      <c r="D52" s="235"/>
      <c r="E52" s="217"/>
      <c r="F52" s="217" t="s">
        <v>159</v>
      </c>
      <c r="G52" s="217" t="s">
        <v>155</v>
      </c>
      <c r="H52" s="217" t="s">
        <v>156</v>
      </c>
      <c r="I52" s="235" t="s">
        <v>34</v>
      </c>
      <c r="J52" s="217" t="s">
        <v>160</v>
      </c>
      <c r="K52" s="217">
        <v>2016</v>
      </c>
      <c r="L52" s="236" t="s">
        <v>160</v>
      </c>
      <c r="M52" s="217"/>
      <c r="N52" s="284"/>
      <c r="O52" s="234"/>
      <c r="P52" s="234"/>
      <c r="Q52" s="40">
        <v>38</v>
      </c>
      <c r="R52" s="183" t="s">
        <v>168</v>
      </c>
      <c r="S52" s="145" t="s">
        <v>169</v>
      </c>
      <c r="T52" s="47" t="s">
        <v>303</v>
      </c>
      <c r="U52" s="182" t="s">
        <v>34</v>
      </c>
      <c r="V52" s="27">
        <v>0.6</v>
      </c>
      <c r="W52" s="99">
        <v>2017</v>
      </c>
      <c r="X52" s="96">
        <v>0.9</v>
      </c>
      <c r="Y52" s="146">
        <v>0.6</v>
      </c>
      <c r="Z52" s="144">
        <v>0.6</v>
      </c>
      <c r="AA52" s="108">
        <v>0.8</v>
      </c>
      <c r="AB52" s="28">
        <f>5/6</f>
        <v>0.83333333333333337</v>
      </c>
      <c r="AC52" s="146">
        <v>0.85</v>
      </c>
      <c r="AD52" s="301">
        <f>62/73</f>
        <v>0.84931506849315064</v>
      </c>
      <c r="AE52" s="196">
        <v>0.9</v>
      </c>
      <c r="AF52" s="29" t="s">
        <v>251</v>
      </c>
      <c r="AG52" s="86" t="s">
        <v>248</v>
      </c>
    </row>
    <row r="53" spans="1:34" s="31" customFormat="1" ht="65.25" customHeight="1" x14ac:dyDescent="0.2">
      <c r="A53" s="217" t="s">
        <v>151</v>
      </c>
      <c r="B53" s="217" t="s">
        <v>30</v>
      </c>
      <c r="C53" s="235" t="s">
        <v>152</v>
      </c>
      <c r="D53" s="235"/>
      <c r="E53" s="198">
        <v>21</v>
      </c>
      <c r="F53" s="217" t="s">
        <v>372</v>
      </c>
      <c r="G53" s="217" t="s">
        <v>322</v>
      </c>
      <c r="H53" s="217" t="s">
        <v>323</v>
      </c>
      <c r="I53" s="235" t="s">
        <v>34</v>
      </c>
      <c r="J53" s="279">
        <v>0.1</v>
      </c>
      <c r="K53" s="217">
        <v>2016</v>
      </c>
      <c r="L53" s="280">
        <v>1</v>
      </c>
      <c r="M53" s="282">
        <f>6/6</f>
        <v>1</v>
      </c>
      <c r="N53" s="285">
        <v>1</v>
      </c>
      <c r="O53" s="267" t="s">
        <v>359</v>
      </c>
      <c r="P53" s="267" t="s">
        <v>360</v>
      </c>
      <c r="Q53" s="40">
        <v>39</v>
      </c>
      <c r="R53" s="179" t="s">
        <v>170</v>
      </c>
      <c r="S53" s="145" t="s">
        <v>304</v>
      </c>
      <c r="T53" s="47" t="s">
        <v>171</v>
      </c>
      <c r="U53" s="182" t="s">
        <v>34</v>
      </c>
      <c r="V53" s="55" t="s">
        <v>172</v>
      </c>
      <c r="W53" s="99">
        <v>2016</v>
      </c>
      <c r="X53" s="96">
        <v>1</v>
      </c>
      <c r="Y53" s="146">
        <v>1</v>
      </c>
      <c r="Z53" s="144">
        <v>1</v>
      </c>
      <c r="AA53" s="108">
        <v>1</v>
      </c>
      <c r="AB53" s="28">
        <f xml:space="preserve"> 41885/41885</f>
        <v>1</v>
      </c>
      <c r="AC53" s="146">
        <v>1</v>
      </c>
      <c r="AD53" s="311">
        <f>34692/34692</f>
        <v>1</v>
      </c>
      <c r="AE53" s="55">
        <v>1</v>
      </c>
      <c r="AF53" s="69" t="s">
        <v>269</v>
      </c>
      <c r="AG53" s="88" t="s">
        <v>268</v>
      </c>
    </row>
    <row r="54" spans="1:34" s="31" customFormat="1" ht="110.25" customHeight="1" x14ac:dyDescent="0.2">
      <c r="A54" s="217"/>
      <c r="B54" s="217"/>
      <c r="C54" s="235"/>
      <c r="D54" s="235"/>
      <c r="E54" s="218"/>
      <c r="F54" s="217"/>
      <c r="G54" s="217"/>
      <c r="H54" s="217"/>
      <c r="I54" s="235"/>
      <c r="J54" s="217"/>
      <c r="K54" s="217"/>
      <c r="L54" s="236"/>
      <c r="M54" s="282"/>
      <c r="N54" s="285"/>
      <c r="O54" s="267"/>
      <c r="P54" s="267"/>
      <c r="Q54" s="40">
        <v>40</v>
      </c>
      <c r="R54" s="179" t="s">
        <v>240</v>
      </c>
      <c r="S54" s="145" t="s">
        <v>173</v>
      </c>
      <c r="T54" s="47" t="s">
        <v>174</v>
      </c>
      <c r="U54" s="182" t="s">
        <v>44</v>
      </c>
      <c r="V54" s="32">
        <v>18</v>
      </c>
      <c r="W54" s="99">
        <v>2017</v>
      </c>
      <c r="X54" s="57">
        <v>72</v>
      </c>
      <c r="Y54" s="111">
        <v>18</v>
      </c>
      <c r="Z54" s="148">
        <v>18</v>
      </c>
      <c r="AA54" s="113">
        <v>72</v>
      </c>
      <c r="AB54" s="57">
        <v>72</v>
      </c>
      <c r="AC54" s="111">
        <v>72</v>
      </c>
      <c r="AD54" s="312">
        <v>72</v>
      </c>
      <c r="AE54" s="197">
        <v>18</v>
      </c>
      <c r="AF54" s="69" t="s">
        <v>269</v>
      </c>
      <c r="AG54" s="88" t="s">
        <v>268</v>
      </c>
    </row>
    <row r="55" spans="1:34" s="31" customFormat="1" ht="149.25" customHeight="1" x14ac:dyDescent="0.2">
      <c r="A55" s="217"/>
      <c r="B55" s="217"/>
      <c r="C55" s="235"/>
      <c r="D55" s="235"/>
      <c r="E55" s="218"/>
      <c r="F55" s="217" t="s">
        <v>175</v>
      </c>
      <c r="G55" s="217" t="s">
        <v>176</v>
      </c>
      <c r="H55" s="217" t="s">
        <v>177</v>
      </c>
      <c r="I55" s="235" t="s">
        <v>34</v>
      </c>
      <c r="J55" s="217" t="s">
        <v>160</v>
      </c>
      <c r="K55" s="217">
        <v>2016</v>
      </c>
      <c r="L55" s="236" t="s">
        <v>160</v>
      </c>
      <c r="M55" s="282"/>
      <c r="N55" s="285"/>
      <c r="O55" s="267"/>
      <c r="P55" s="267"/>
      <c r="Q55" s="40">
        <v>41</v>
      </c>
      <c r="R55" s="179" t="s">
        <v>178</v>
      </c>
      <c r="S55" s="27" t="s">
        <v>179</v>
      </c>
      <c r="T55" s="47" t="s">
        <v>180</v>
      </c>
      <c r="U55" s="182" t="s">
        <v>34</v>
      </c>
      <c r="V55" s="27">
        <v>1</v>
      </c>
      <c r="W55" s="99">
        <v>2017</v>
      </c>
      <c r="X55" s="28">
        <v>1</v>
      </c>
      <c r="Y55" s="100">
        <v>1</v>
      </c>
      <c r="Z55" s="102">
        <v>1</v>
      </c>
      <c r="AA55" s="100">
        <v>1</v>
      </c>
      <c r="AB55" s="102">
        <f>7/7</f>
        <v>1</v>
      </c>
      <c r="AC55" s="100">
        <v>1</v>
      </c>
      <c r="AD55" s="301">
        <f>9/9</f>
        <v>1</v>
      </c>
      <c r="AE55" s="196">
        <v>1</v>
      </c>
      <c r="AF55" s="29" t="s">
        <v>181</v>
      </c>
      <c r="AG55" s="82" t="s">
        <v>239</v>
      </c>
    </row>
    <row r="56" spans="1:34" s="31" customFormat="1" ht="79.5" customHeight="1" x14ac:dyDescent="0.2">
      <c r="A56" s="217"/>
      <c r="B56" s="217"/>
      <c r="C56" s="235"/>
      <c r="D56" s="235"/>
      <c r="E56" s="218"/>
      <c r="F56" s="217"/>
      <c r="G56" s="217"/>
      <c r="H56" s="217"/>
      <c r="I56" s="235"/>
      <c r="J56" s="217"/>
      <c r="K56" s="217"/>
      <c r="L56" s="236"/>
      <c r="M56" s="282"/>
      <c r="N56" s="285"/>
      <c r="O56" s="267"/>
      <c r="P56" s="267"/>
      <c r="Q56" s="40">
        <v>42</v>
      </c>
      <c r="R56" s="179" t="s">
        <v>376</v>
      </c>
      <c r="S56" s="27" t="s">
        <v>182</v>
      </c>
      <c r="T56" s="47" t="s">
        <v>183</v>
      </c>
      <c r="U56" s="182" t="s">
        <v>34</v>
      </c>
      <c r="V56" s="27">
        <v>0.95</v>
      </c>
      <c r="W56" s="99">
        <v>2017</v>
      </c>
      <c r="X56" s="28" t="s">
        <v>77</v>
      </c>
      <c r="Y56" s="100" t="s">
        <v>77</v>
      </c>
      <c r="Z56" s="102" t="s">
        <v>184</v>
      </c>
      <c r="AA56" s="152" t="s">
        <v>77</v>
      </c>
      <c r="AB56" s="102">
        <f>130/135</f>
        <v>0.96296296296296291</v>
      </c>
      <c r="AC56" s="152" t="s">
        <v>77</v>
      </c>
      <c r="AD56" s="302">
        <v>0.98499999999999999</v>
      </c>
      <c r="AE56" s="196" t="s">
        <v>77</v>
      </c>
      <c r="AF56" s="29" t="s">
        <v>253</v>
      </c>
      <c r="AG56" s="43" t="s">
        <v>254</v>
      </c>
    </row>
    <row r="57" spans="1:34" s="31" customFormat="1" ht="150.75" customHeight="1" x14ac:dyDescent="0.2">
      <c r="A57" s="217"/>
      <c r="B57" s="217"/>
      <c r="C57" s="235"/>
      <c r="D57" s="235"/>
      <c r="E57" s="218"/>
      <c r="F57" s="217"/>
      <c r="G57" s="217"/>
      <c r="H57" s="217"/>
      <c r="I57" s="235"/>
      <c r="J57" s="217"/>
      <c r="K57" s="217"/>
      <c r="L57" s="236"/>
      <c r="M57" s="282"/>
      <c r="N57" s="285"/>
      <c r="O57" s="267"/>
      <c r="P57" s="267"/>
      <c r="Q57" s="40">
        <v>43</v>
      </c>
      <c r="R57" s="179" t="s">
        <v>185</v>
      </c>
      <c r="S57" s="27" t="s">
        <v>186</v>
      </c>
      <c r="T57" s="47" t="s">
        <v>187</v>
      </c>
      <c r="U57" s="182" t="s">
        <v>34</v>
      </c>
      <c r="V57" s="27">
        <v>1</v>
      </c>
      <c r="W57" s="99">
        <v>2017</v>
      </c>
      <c r="X57" s="28">
        <v>1</v>
      </c>
      <c r="Y57" s="146">
        <v>1</v>
      </c>
      <c r="Z57" s="144">
        <v>1</v>
      </c>
      <c r="AA57" s="146">
        <v>1</v>
      </c>
      <c r="AB57" s="144">
        <f>50/50</f>
        <v>1</v>
      </c>
      <c r="AC57" s="146">
        <v>1</v>
      </c>
      <c r="AD57" s="301">
        <f>147/147</f>
        <v>1</v>
      </c>
      <c r="AE57" s="196">
        <v>1</v>
      </c>
      <c r="AF57" s="59" t="s">
        <v>188</v>
      </c>
      <c r="AG57" s="60" t="s">
        <v>189</v>
      </c>
    </row>
    <row r="58" spans="1:34" s="31" customFormat="1" ht="122.25" customHeight="1" x14ac:dyDescent="0.2">
      <c r="A58" s="217"/>
      <c r="B58" s="217"/>
      <c r="C58" s="235"/>
      <c r="D58" s="235"/>
      <c r="E58" s="218"/>
      <c r="F58" s="217"/>
      <c r="G58" s="217"/>
      <c r="H58" s="217"/>
      <c r="I58" s="235"/>
      <c r="J58" s="217"/>
      <c r="K58" s="217"/>
      <c r="L58" s="236"/>
      <c r="M58" s="282"/>
      <c r="N58" s="285"/>
      <c r="O58" s="267"/>
      <c r="P58" s="267"/>
      <c r="Q58" s="40">
        <v>44</v>
      </c>
      <c r="R58" s="179" t="s">
        <v>190</v>
      </c>
      <c r="S58" s="27" t="s">
        <v>191</v>
      </c>
      <c r="T58" s="47" t="s">
        <v>192</v>
      </c>
      <c r="U58" s="182" t="s">
        <v>34</v>
      </c>
      <c r="V58" s="27">
        <v>1</v>
      </c>
      <c r="W58" s="99">
        <v>2017</v>
      </c>
      <c r="X58" s="28">
        <v>1</v>
      </c>
      <c r="Y58" s="146">
        <v>1</v>
      </c>
      <c r="Z58" s="144">
        <v>1</v>
      </c>
      <c r="AA58" s="146">
        <v>1</v>
      </c>
      <c r="AB58" s="144">
        <f>67/67</f>
        <v>1</v>
      </c>
      <c r="AC58" s="146">
        <v>1</v>
      </c>
      <c r="AD58" s="301">
        <f>181/181</f>
        <v>1</v>
      </c>
      <c r="AE58" s="196">
        <v>1</v>
      </c>
      <c r="AF58" s="59" t="s">
        <v>188</v>
      </c>
      <c r="AG58" s="60" t="s">
        <v>189</v>
      </c>
      <c r="AH58" s="61"/>
    </row>
    <row r="59" spans="1:34" s="31" customFormat="1" ht="147.75" customHeight="1" x14ac:dyDescent="0.2">
      <c r="A59" s="24" t="s">
        <v>151</v>
      </c>
      <c r="B59" s="62" t="s">
        <v>30</v>
      </c>
      <c r="C59" s="235" t="s">
        <v>152</v>
      </c>
      <c r="D59" s="235"/>
      <c r="E59" s="39">
        <v>22</v>
      </c>
      <c r="F59" s="184" t="s">
        <v>324</v>
      </c>
      <c r="G59" s="63" t="s">
        <v>193</v>
      </c>
      <c r="H59" s="63" t="s">
        <v>194</v>
      </c>
      <c r="I59" s="64" t="s">
        <v>34</v>
      </c>
      <c r="J59" s="24">
        <v>0</v>
      </c>
      <c r="K59" s="24">
        <v>2016</v>
      </c>
      <c r="L59" s="169">
        <v>1</v>
      </c>
      <c r="M59" s="103">
        <f>3/3</f>
        <v>1</v>
      </c>
      <c r="N59" s="175">
        <f>M59/L59</f>
        <v>1</v>
      </c>
      <c r="O59" s="42" t="s">
        <v>361</v>
      </c>
      <c r="P59" s="42" t="s">
        <v>362</v>
      </c>
      <c r="Q59" s="40">
        <v>45</v>
      </c>
      <c r="R59" s="179" t="s">
        <v>381</v>
      </c>
      <c r="S59" s="24" t="s">
        <v>305</v>
      </c>
      <c r="T59" s="47" t="s">
        <v>306</v>
      </c>
      <c r="U59" s="182" t="s">
        <v>44</v>
      </c>
      <c r="V59" s="24">
        <v>1</v>
      </c>
      <c r="W59" s="99">
        <v>2017</v>
      </c>
      <c r="X59" s="54">
        <v>3</v>
      </c>
      <c r="Y59" s="147">
        <v>1</v>
      </c>
      <c r="Z59" s="145">
        <v>1</v>
      </c>
      <c r="AA59" s="114">
        <v>3</v>
      </c>
      <c r="AB59" s="54">
        <v>3</v>
      </c>
      <c r="AC59" s="147">
        <v>3</v>
      </c>
      <c r="AD59" s="309">
        <v>3</v>
      </c>
      <c r="AE59" s="195">
        <v>3</v>
      </c>
      <c r="AF59" s="29" t="s">
        <v>154</v>
      </c>
      <c r="AG59" s="43" t="s">
        <v>252</v>
      </c>
    </row>
    <row r="60" spans="1:34" s="31" customFormat="1" ht="92.25" customHeight="1" x14ac:dyDescent="0.2">
      <c r="A60" s="222" t="s">
        <v>151</v>
      </c>
      <c r="B60" s="217" t="s">
        <v>30</v>
      </c>
      <c r="C60" s="252" t="s">
        <v>152</v>
      </c>
      <c r="D60" s="252"/>
      <c r="E60" s="222">
        <v>23</v>
      </c>
      <c r="F60" s="222" t="s">
        <v>373</v>
      </c>
      <c r="G60" s="222" t="s">
        <v>195</v>
      </c>
      <c r="H60" s="222" t="s">
        <v>196</v>
      </c>
      <c r="I60" s="252" t="s">
        <v>34</v>
      </c>
      <c r="J60" s="222">
        <v>0</v>
      </c>
      <c r="K60" s="222">
        <v>2016</v>
      </c>
      <c r="L60" s="280">
        <v>0.9</v>
      </c>
      <c r="M60" s="288">
        <f>12/12</f>
        <v>1</v>
      </c>
      <c r="N60" s="291">
        <v>1</v>
      </c>
      <c r="O60" s="286" t="s">
        <v>363</v>
      </c>
      <c r="P60" s="286" t="s">
        <v>364</v>
      </c>
      <c r="Q60" s="40">
        <v>46</v>
      </c>
      <c r="R60" s="93" t="s">
        <v>257</v>
      </c>
      <c r="S60" s="24" t="s">
        <v>197</v>
      </c>
      <c r="T60" s="47" t="s">
        <v>198</v>
      </c>
      <c r="U60" s="182" t="s">
        <v>34</v>
      </c>
      <c r="V60" s="48">
        <v>0.74</v>
      </c>
      <c r="W60" s="97">
        <v>2017</v>
      </c>
      <c r="X60" s="28">
        <v>0.8</v>
      </c>
      <c r="Y60" s="146">
        <v>0.74</v>
      </c>
      <c r="Z60" s="144">
        <v>0.74</v>
      </c>
      <c r="AA60" s="108">
        <v>0.8</v>
      </c>
      <c r="AB60" s="28">
        <f>487729657/508410371</f>
        <v>0.95932279280746613</v>
      </c>
      <c r="AC60" s="146">
        <v>0.8</v>
      </c>
      <c r="AD60" s="310">
        <f>432956754/518564561</f>
        <v>0.83491388837888592</v>
      </c>
      <c r="AE60" s="196">
        <v>0.8</v>
      </c>
      <c r="AF60" s="29" t="s">
        <v>255</v>
      </c>
      <c r="AG60" s="43" t="s">
        <v>256</v>
      </c>
    </row>
    <row r="61" spans="1:34" s="31" customFormat="1" ht="78.75" customHeight="1" x14ac:dyDescent="0.2">
      <c r="A61" s="222"/>
      <c r="B61" s="217"/>
      <c r="C61" s="252"/>
      <c r="D61" s="252"/>
      <c r="E61" s="222"/>
      <c r="F61" s="222"/>
      <c r="G61" s="222"/>
      <c r="H61" s="222"/>
      <c r="I61" s="252"/>
      <c r="J61" s="222"/>
      <c r="K61" s="222"/>
      <c r="L61" s="280"/>
      <c r="M61" s="289"/>
      <c r="N61" s="292"/>
      <c r="O61" s="287"/>
      <c r="P61" s="287"/>
      <c r="Q61" s="40">
        <v>47</v>
      </c>
      <c r="R61" s="67" t="s">
        <v>199</v>
      </c>
      <c r="S61" s="24" t="s">
        <v>200</v>
      </c>
      <c r="T61" s="47" t="s">
        <v>201</v>
      </c>
      <c r="U61" s="182" t="s">
        <v>34</v>
      </c>
      <c r="V61" s="48">
        <v>0.2</v>
      </c>
      <c r="W61" s="97">
        <v>2017</v>
      </c>
      <c r="X61" s="28">
        <v>0.8</v>
      </c>
      <c r="Y61" s="146">
        <v>0.2</v>
      </c>
      <c r="Z61" s="144">
        <v>0.2</v>
      </c>
      <c r="AA61" s="108">
        <v>0.8</v>
      </c>
      <c r="AB61" s="28">
        <f>6/6</f>
        <v>1</v>
      </c>
      <c r="AC61" s="146">
        <v>1</v>
      </c>
      <c r="AD61" s="301">
        <f>6/6</f>
        <v>1</v>
      </c>
      <c r="AE61" s="196">
        <v>1</v>
      </c>
      <c r="AF61" s="41" t="s">
        <v>258</v>
      </c>
      <c r="AG61" s="43" t="s">
        <v>259</v>
      </c>
    </row>
    <row r="62" spans="1:34" s="23" customFormat="1" ht="71.25" customHeight="1" x14ac:dyDescent="0.2">
      <c r="A62" s="222" t="s">
        <v>151</v>
      </c>
      <c r="B62" s="222" t="s">
        <v>30</v>
      </c>
      <c r="C62" s="252"/>
      <c r="D62" s="252"/>
      <c r="E62" s="222">
        <v>24</v>
      </c>
      <c r="F62" s="222" t="s">
        <v>202</v>
      </c>
      <c r="G62" s="222" t="s">
        <v>203</v>
      </c>
      <c r="H62" s="222" t="s">
        <v>204</v>
      </c>
      <c r="I62" s="252" t="s">
        <v>34</v>
      </c>
      <c r="J62" s="222">
        <v>0</v>
      </c>
      <c r="K62" s="222">
        <v>2017</v>
      </c>
      <c r="L62" s="280">
        <v>1</v>
      </c>
      <c r="M62" s="290">
        <f>12/12</f>
        <v>1</v>
      </c>
      <c r="N62" s="293">
        <f>12/12</f>
        <v>1</v>
      </c>
      <c r="O62" s="270" t="s">
        <v>365</v>
      </c>
      <c r="P62" s="270" t="s">
        <v>366</v>
      </c>
      <c r="Q62" s="40">
        <v>48</v>
      </c>
      <c r="R62" s="94" t="s">
        <v>205</v>
      </c>
      <c r="S62" s="68" t="s">
        <v>206</v>
      </c>
      <c r="T62" s="47" t="s">
        <v>207</v>
      </c>
      <c r="U62" s="189" t="s">
        <v>34</v>
      </c>
      <c r="V62" s="70">
        <v>0.2</v>
      </c>
      <c r="W62" s="68">
        <v>2017</v>
      </c>
      <c r="X62" s="28">
        <v>1</v>
      </c>
      <c r="Y62" s="146">
        <v>0.2</v>
      </c>
      <c r="Z62" s="144">
        <v>0.2</v>
      </c>
      <c r="AA62" s="108">
        <v>1</v>
      </c>
      <c r="AB62" s="28">
        <f>6/6</f>
        <v>1</v>
      </c>
      <c r="AC62" s="146">
        <v>1</v>
      </c>
      <c r="AD62" s="301">
        <f>6/6</f>
        <v>1</v>
      </c>
      <c r="AE62" s="196">
        <v>1</v>
      </c>
      <c r="AF62" s="71" t="s">
        <v>208</v>
      </c>
      <c r="AG62" s="43" t="s">
        <v>250</v>
      </c>
    </row>
    <row r="63" spans="1:34" s="23" customFormat="1" ht="71.25" customHeight="1" x14ac:dyDescent="0.2">
      <c r="A63" s="222"/>
      <c r="B63" s="222"/>
      <c r="C63" s="252"/>
      <c r="D63" s="252"/>
      <c r="E63" s="222"/>
      <c r="F63" s="222"/>
      <c r="G63" s="222"/>
      <c r="H63" s="222"/>
      <c r="I63" s="252"/>
      <c r="J63" s="222"/>
      <c r="K63" s="222"/>
      <c r="L63" s="236"/>
      <c r="M63" s="290"/>
      <c r="N63" s="293"/>
      <c r="O63" s="270"/>
      <c r="P63" s="270"/>
      <c r="Q63" s="40">
        <v>49</v>
      </c>
      <c r="R63" s="179" t="s">
        <v>209</v>
      </c>
      <c r="S63" s="68" t="s">
        <v>210</v>
      </c>
      <c r="T63" s="47" t="s">
        <v>307</v>
      </c>
      <c r="U63" s="189" t="s">
        <v>34</v>
      </c>
      <c r="V63" s="48">
        <v>0.9</v>
      </c>
      <c r="W63" s="97">
        <v>2017</v>
      </c>
      <c r="X63" s="28">
        <v>0.9</v>
      </c>
      <c r="Y63" s="146">
        <v>0.9</v>
      </c>
      <c r="Z63" s="144">
        <v>0.9</v>
      </c>
      <c r="AA63" s="108">
        <v>0.85</v>
      </c>
      <c r="AB63" s="38">
        <f>2158820250/222733921800</f>
        <v>9.6923730007253892E-3</v>
      </c>
      <c r="AC63" s="146">
        <v>0.9</v>
      </c>
      <c r="AD63" s="310">
        <f>5223169037/5223169037</f>
        <v>1</v>
      </c>
      <c r="AE63" s="196">
        <v>0.9</v>
      </c>
      <c r="AF63" s="71" t="s">
        <v>208</v>
      </c>
      <c r="AG63" s="43" t="s">
        <v>250</v>
      </c>
    </row>
    <row r="64" spans="1:34" s="23" customFormat="1" ht="71.25" customHeight="1" x14ac:dyDescent="0.2">
      <c r="A64" s="222"/>
      <c r="B64" s="222"/>
      <c r="C64" s="252"/>
      <c r="D64" s="252"/>
      <c r="E64" s="222"/>
      <c r="F64" s="222"/>
      <c r="G64" s="222"/>
      <c r="H64" s="222"/>
      <c r="I64" s="252"/>
      <c r="J64" s="222"/>
      <c r="K64" s="222"/>
      <c r="L64" s="236"/>
      <c r="M64" s="290"/>
      <c r="N64" s="293"/>
      <c r="O64" s="270"/>
      <c r="P64" s="270"/>
      <c r="Q64" s="40">
        <v>50</v>
      </c>
      <c r="R64" s="179" t="s">
        <v>211</v>
      </c>
      <c r="S64" s="29" t="s">
        <v>212</v>
      </c>
      <c r="T64" s="47" t="s">
        <v>213</v>
      </c>
      <c r="U64" s="190" t="s">
        <v>214</v>
      </c>
      <c r="V64" s="73">
        <v>0.2</v>
      </c>
      <c r="W64" s="74">
        <v>2017</v>
      </c>
      <c r="X64" s="28">
        <v>0.9</v>
      </c>
      <c r="Y64" s="146">
        <v>0.2</v>
      </c>
      <c r="Z64" s="144">
        <v>0.2</v>
      </c>
      <c r="AA64" s="108">
        <v>0.5</v>
      </c>
      <c r="AB64" s="28">
        <v>0.5</v>
      </c>
      <c r="AC64" s="146">
        <v>0.9</v>
      </c>
      <c r="AD64" s="301">
        <f>8/8</f>
        <v>1</v>
      </c>
      <c r="AE64" s="196">
        <v>0.9</v>
      </c>
      <c r="AF64" s="71" t="s">
        <v>208</v>
      </c>
      <c r="AG64" s="43" t="s">
        <v>250</v>
      </c>
    </row>
    <row r="65" spans="1:33" s="23" customFormat="1" ht="91.5" customHeight="1" x14ac:dyDescent="0.2">
      <c r="A65" s="222"/>
      <c r="B65" s="222"/>
      <c r="C65" s="252"/>
      <c r="D65" s="252"/>
      <c r="E65" s="222"/>
      <c r="F65" s="222"/>
      <c r="G65" s="222"/>
      <c r="H65" s="222"/>
      <c r="I65" s="252"/>
      <c r="J65" s="222"/>
      <c r="K65" s="222"/>
      <c r="L65" s="236"/>
      <c r="M65" s="290"/>
      <c r="N65" s="293"/>
      <c r="O65" s="270"/>
      <c r="P65" s="270"/>
      <c r="Q65" s="40">
        <v>51</v>
      </c>
      <c r="R65" s="94" t="s">
        <v>215</v>
      </c>
      <c r="S65" s="68" t="s">
        <v>216</v>
      </c>
      <c r="T65" s="47" t="s">
        <v>308</v>
      </c>
      <c r="U65" s="191" t="s">
        <v>214</v>
      </c>
      <c r="V65" s="73">
        <v>0.2</v>
      </c>
      <c r="W65" s="76">
        <v>2017</v>
      </c>
      <c r="X65" s="28">
        <v>0.9</v>
      </c>
      <c r="Y65" s="146">
        <v>0.2</v>
      </c>
      <c r="Z65" s="144">
        <v>0.2</v>
      </c>
      <c r="AA65" s="108">
        <v>0.5</v>
      </c>
      <c r="AB65" s="28">
        <v>0.5</v>
      </c>
      <c r="AC65" s="146">
        <v>0.9</v>
      </c>
      <c r="AD65" s="301">
        <f>4/4</f>
        <v>1</v>
      </c>
      <c r="AE65" s="196">
        <v>0.9</v>
      </c>
      <c r="AF65" s="71" t="s">
        <v>208</v>
      </c>
      <c r="AG65" s="43" t="s">
        <v>250</v>
      </c>
    </row>
    <row r="66" spans="1:33" s="23" customFormat="1" ht="84.75" customHeight="1" x14ac:dyDescent="0.2">
      <c r="A66" s="222"/>
      <c r="B66" s="222"/>
      <c r="C66" s="252"/>
      <c r="D66" s="252"/>
      <c r="E66" s="222"/>
      <c r="F66" s="222"/>
      <c r="G66" s="222"/>
      <c r="H66" s="222"/>
      <c r="I66" s="252"/>
      <c r="J66" s="222"/>
      <c r="K66" s="222"/>
      <c r="L66" s="236"/>
      <c r="M66" s="290"/>
      <c r="N66" s="293"/>
      <c r="O66" s="270"/>
      <c r="P66" s="270"/>
      <c r="Q66" s="40">
        <v>52</v>
      </c>
      <c r="R66" s="179" t="s">
        <v>217</v>
      </c>
      <c r="S66" s="68" t="s">
        <v>218</v>
      </c>
      <c r="T66" s="47" t="s">
        <v>219</v>
      </c>
      <c r="U66" s="191" t="s">
        <v>214</v>
      </c>
      <c r="V66" s="77">
        <v>0.2</v>
      </c>
      <c r="W66" s="76">
        <v>2017</v>
      </c>
      <c r="X66" s="28">
        <v>0.9</v>
      </c>
      <c r="Y66" s="146">
        <v>0.2</v>
      </c>
      <c r="Z66" s="144">
        <v>0.2</v>
      </c>
      <c r="AA66" s="108">
        <v>0.4</v>
      </c>
      <c r="AB66" s="28">
        <v>0.4</v>
      </c>
      <c r="AC66" s="100">
        <v>0.9</v>
      </c>
      <c r="AD66" s="301">
        <f>13/13</f>
        <v>1</v>
      </c>
      <c r="AE66" s="196">
        <v>0.9</v>
      </c>
      <c r="AF66" s="71" t="s">
        <v>208</v>
      </c>
      <c r="AG66" s="43" t="s">
        <v>250</v>
      </c>
    </row>
    <row r="67" spans="1:33" s="23" customFormat="1" ht="90" customHeight="1" x14ac:dyDescent="0.2">
      <c r="A67" s="222"/>
      <c r="B67" s="222"/>
      <c r="C67" s="252"/>
      <c r="D67" s="252"/>
      <c r="E67" s="222"/>
      <c r="F67" s="222"/>
      <c r="G67" s="222"/>
      <c r="H67" s="222"/>
      <c r="I67" s="252"/>
      <c r="J67" s="222"/>
      <c r="K67" s="222"/>
      <c r="L67" s="236"/>
      <c r="M67" s="290"/>
      <c r="N67" s="293"/>
      <c r="O67" s="270"/>
      <c r="P67" s="270"/>
      <c r="Q67" s="40">
        <v>53</v>
      </c>
      <c r="R67" s="179" t="s">
        <v>220</v>
      </c>
      <c r="S67" s="68" t="s">
        <v>221</v>
      </c>
      <c r="T67" s="47" t="s">
        <v>222</v>
      </c>
      <c r="U67" s="191" t="s">
        <v>214</v>
      </c>
      <c r="V67" s="70">
        <v>0.6</v>
      </c>
      <c r="W67" s="76">
        <v>2017</v>
      </c>
      <c r="X67" s="28" t="s">
        <v>77</v>
      </c>
      <c r="Y67" s="100">
        <v>0.6</v>
      </c>
      <c r="Z67" s="102">
        <v>0.6</v>
      </c>
      <c r="AA67" s="133">
        <v>0.8</v>
      </c>
      <c r="AB67" s="134">
        <f>26/30</f>
        <v>0.8666666666666667</v>
      </c>
      <c r="AC67" s="100" t="s">
        <v>77</v>
      </c>
      <c r="AD67" s="301">
        <f>42/46</f>
        <v>0.91304347826086951</v>
      </c>
      <c r="AE67" s="196" t="s">
        <v>77</v>
      </c>
      <c r="AF67" s="71" t="s">
        <v>208</v>
      </c>
      <c r="AG67" s="43" t="s">
        <v>250</v>
      </c>
    </row>
    <row r="68" spans="1:33" s="23" customFormat="1" ht="71.25" customHeight="1" x14ac:dyDescent="0.2">
      <c r="A68" s="222"/>
      <c r="B68" s="222"/>
      <c r="C68" s="252"/>
      <c r="D68" s="252"/>
      <c r="E68" s="222"/>
      <c r="F68" s="222"/>
      <c r="G68" s="222"/>
      <c r="H68" s="222"/>
      <c r="I68" s="252"/>
      <c r="J68" s="222"/>
      <c r="K68" s="222"/>
      <c r="L68" s="236"/>
      <c r="M68" s="290"/>
      <c r="N68" s="293"/>
      <c r="O68" s="270"/>
      <c r="P68" s="270"/>
      <c r="Q68" s="40">
        <v>54</v>
      </c>
      <c r="R68" s="179" t="s">
        <v>223</v>
      </c>
      <c r="S68" s="68" t="s">
        <v>224</v>
      </c>
      <c r="T68" s="47" t="s">
        <v>309</v>
      </c>
      <c r="U68" s="189" t="s">
        <v>34</v>
      </c>
      <c r="V68" s="70">
        <v>0.2</v>
      </c>
      <c r="W68" s="76">
        <v>2017</v>
      </c>
      <c r="X68" s="28">
        <v>0.9</v>
      </c>
      <c r="Y68" s="100">
        <v>0.2</v>
      </c>
      <c r="Z68" s="102">
        <v>0.2</v>
      </c>
      <c r="AA68" s="133">
        <v>0.3</v>
      </c>
      <c r="AB68" s="134">
        <v>0.3</v>
      </c>
      <c r="AC68" s="100">
        <v>0.9</v>
      </c>
      <c r="AD68" s="301">
        <f>9/10</f>
        <v>0.9</v>
      </c>
      <c r="AE68" s="196">
        <v>0.9</v>
      </c>
      <c r="AF68" s="71" t="s">
        <v>208</v>
      </c>
      <c r="AG68" s="43" t="s">
        <v>250</v>
      </c>
    </row>
    <row r="69" spans="1:33" s="23" customFormat="1" ht="71.25" customHeight="1" x14ac:dyDescent="0.2">
      <c r="A69" s="222"/>
      <c r="B69" s="222"/>
      <c r="C69" s="252"/>
      <c r="D69" s="252"/>
      <c r="E69" s="222"/>
      <c r="F69" s="222"/>
      <c r="G69" s="222"/>
      <c r="H69" s="222"/>
      <c r="I69" s="252"/>
      <c r="J69" s="222"/>
      <c r="K69" s="222"/>
      <c r="L69" s="236"/>
      <c r="M69" s="290"/>
      <c r="N69" s="293"/>
      <c r="O69" s="270"/>
      <c r="P69" s="270"/>
      <c r="Q69" s="40">
        <v>55</v>
      </c>
      <c r="R69" s="94" t="s">
        <v>225</v>
      </c>
      <c r="S69" s="78" t="s">
        <v>226</v>
      </c>
      <c r="T69" s="47" t="s">
        <v>213</v>
      </c>
      <c r="U69" s="189" t="s">
        <v>34</v>
      </c>
      <c r="V69" s="79">
        <v>0.2</v>
      </c>
      <c r="W69" s="68">
        <v>2017</v>
      </c>
      <c r="X69" s="28">
        <v>1</v>
      </c>
      <c r="Y69" s="135">
        <v>0.2</v>
      </c>
      <c r="Z69" s="136">
        <v>0.2</v>
      </c>
      <c r="AA69" s="112">
        <f>3/5</f>
        <v>0.6</v>
      </c>
      <c r="AB69" s="56">
        <f>3/5</f>
        <v>0.6</v>
      </c>
      <c r="AC69" s="100">
        <v>0.9</v>
      </c>
      <c r="AD69" s="301">
        <f>46/50</f>
        <v>0.92</v>
      </c>
      <c r="AE69" s="196">
        <v>1</v>
      </c>
      <c r="AF69" s="71" t="s">
        <v>208</v>
      </c>
      <c r="AG69" s="43" t="s">
        <v>250</v>
      </c>
    </row>
    <row r="70" spans="1:33" s="23" customFormat="1" ht="90" customHeight="1" x14ac:dyDescent="0.2">
      <c r="A70" s="222"/>
      <c r="B70" s="222"/>
      <c r="C70" s="252"/>
      <c r="D70" s="252"/>
      <c r="E70" s="222"/>
      <c r="F70" s="222"/>
      <c r="G70" s="222"/>
      <c r="H70" s="222"/>
      <c r="I70" s="252"/>
      <c r="J70" s="222"/>
      <c r="K70" s="222"/>
      <c r="L70" s="236"/>
      <c r="M70" s="290"/>
      <c r="N70" s="293"/>
      <c r="O70" s="270"/>
      <c r="P70" s="270"/>
      <c r="Q70" s="40">
        <v>56</v>
      </c>
      <c r="R70" s="179" t="s">
        <v>227</v>
      </c>
      <c r="S70" s="68" t="s">
        <v>228</v>
      </c>
      <c r="T70" s="47" t="s">
        <v>229</v>
      </c>
      <c r="U70" s="189" t="s">
        <v>214</v>
      </c>
      <c r="V70" s="136">
        <v>1</v>
      </c>
      <c r="W70" s="80">
        <v>2017</v>
      </c>
      <c r="X70" s="28">
        <v>1</v>
      </c>
      <c r="Y70" s="135">
        <v>0.7</v>
      </c>
      <c r="Z70" s="136">
        <v>1</v>
      </c>
      <c r="AA70" s="112">
        <v>1</v>
      </c>
      <c r="AB70" s="56">
        <f>4/4</f>
        <v>1</v>
      </c>
      <c r="AC70" s="146">
        <v>1</v>
      </c>
      <c r="AD70" s="301">
        <f>36/36</f>
        <v>1</v>
      </c>
      <c r="AE70" s="196">
        <v>1</v>
      </c>
      <c r="AF70" s="71" t="s">
        <v>208</v>
      </c>
      <c r="AG70" s="43" t="s">
        <v>250</v>
      </c>
    </row>
    <row r="71" spans="1:33" s="23" customFormat="1" ht="102.75" customHeight="1" x14ac:dyDescent="0.2">
      <c r="A71" s="222"/>
      <c r="B71" s="222"/>
      <c r="C71" s="252"/>
      <c r="D71" s="252"/>
      <c r="E71" s="222"/>
      <c r="F71" s="222"/>
      <c r="G71" s="222"/>
      <c r="H71" s="222"/>
      <c r="I71" s="252"/>
      <c r="J71" s="222"/>
      <c r="K71" s="222"/>
      <c r="L71" s="236"/>
      <c r="M71" s="290"/>
      <c r="N71" s="293"/>
      <c r="O71" s="270"/>
      <c r="P71" s="270"/>
      <c r="Q71" s="40">
        <v>57</v>
      </c>
      <c r="R71" s="179" t="s">
        <v>230</v>
      </c>
      <c r="S71" s="68" t="s">
        <v>231</v>
      </c>
      <c r="T71" s="47" t="s">
        <v>232</v>
      </c>
      <c r="U71" s="191" t="s">
        <v>214</v>
      </c>
      <c r="V71" s="72">
        <v>0.3</v>
      </c>
      <c r="W71" s="74">
        <v>2017</v>
      </c>
      <c r="X71" s="28">
        <v>1</v>
      </c>
      <c r="Y71" s="135">
        <v>0.3</v>
      </c>
      <c r="Z71" s="136">
        <v>0.3</v>
      </c>
      <c r="AA71" s="112">
        <v>1</v>
      </c>
      <c r="AB71" s="56">
        <f>4/4</f>
        <v>1</v>
      </c>
      <c r="AC71" s="146">
        <v>1</v>
      </c>
      <c r="AD71" s="301">
        <f>17/18</f>
        <v>0.94444444444444442</v>
      </c>
      <c r="AE71" s="196">
        <v>1</v>
      </c>
      <c r="AF71" s="89" t="s">
        <v>269</v>
      </c>
      <c r="AG71" s="43" t="s">
        <v>268</v>
      </c>
    </row>
    <row r="72" spans="1:33" s="23" customFormat="1" ht="102.75" customHeight="1" x14ac:dyDescent="0.2">
      <c r="A72" s="222"/>
      <c r="B72" s="222"/>
      <c r="C72" s="252"/>
      <c r="D72" s="252"/>
      <c r="E72" s="222"/>
      <c r="F72" s="222"/>
      <c r="G72" s="222"/>
      <c r="H72" s="222"/>
      <c r="I72" s="252"/>
      <c r="J72" s="222"/>
      <c r="K72" s="222"/>
      <c r="L72" s="236"/>
      <c r="M72" s="290"/>
      <c r="N72" s="293"/>
      <c r="O72" s="270"/>
      <c r="P72" s="270"/>
      <c r="Q72" s="40">
        <v>58</v>
      </c>
      <c r="R72" s="179" t="s">
        <v>233</v>
      </c>
      <c r="S72" s="68" t="s">
        <v>234</v>
      </c>
      <c r="T72" s="161" t="s">
        <v>235</v>
      </c>
      <c r="U72" s="191" t="s">
        <v>214</v>
      </c>
      <c r="V72" s="77">
        <v>0.2</v>
      </c>
      <c r="W72" s="76">
        <v>2017</v>
      </c>
      <c r="X72" s="28">
        <v>1</v>
      </c>
      <c r="Y72" s="131">
        <v>0.2</v>
      </c>
      <c r="Z72" s="132">
        <v>0.2</v>
      </c>
      <c r="AA72" s="133">
        <v>1</v>
      </c>
      <c r="AB72" s="134">
        <f>4/4</f>
        <v>1</v>
      </c>
      <c r="AC72" s="100">
        <v>1</v>
      </c>
      <c r="AD72" s="301">
        <f>9/10</f>
        <v>0.9</v>
      </c>
      <c r="AE72" s="196">
        <v>1</v>
      </c>
      <c r="AF72" s="89" t="s">
        <v>269</v>
      </c>
      <c r="AG72" s="43" t="s">
        <v>268</v>
      </c>
    </row>
    <row r="73" spans="1:33" s="23" customFormat="1" ht="71.25" customHeight="1" thickBot="1" x14ac:dyDescent="0.25">
      <c r="A73" s="222"/>
      <c r="B73" s="222"/>
      <c r="C73" s="252"/>
      <c r="D73" s="252"/>
      <c r="E73" s="222"/>
      <c r="F73" s="222"/>
      <c r="G73" s="222"/>
      <c r="H73" s="222"/>
      <c r="I73" s="252"/>
      <c r="J73" s="222"/>
      <c r="K73" s="222"/>
      <c r="L73" s="236"/>
      <c r="M73" s="290"/>
      <c r="N73" s="291"/>
      <c r="O73" s="270"/>
      <c r="P73" s="270"/>
      <c r="Q73" s="40">
        <v>59</v>
      </c>
      <c r="R73" s="179" t="s">
        <v>236</v>
      </c>
      <c r="S73" s="68" t="s">
        <v>237</v>
      </c>
      <c r="T73" s="161" t="s">
        <v>235</v>
      </c>
      <c r="U73" s="189" t="s">
        <v>34</v>
      </c>
      <c r="V73" s="77">
        <v>0.2</v>
      </c>
      <c r="W73" s="76">
        <v>2017</v>
      </c>
      <c r="X73" s="28">
        <v>1</v>
      </c>
      <c r="Y73" s="131">
        <v>0.2</v>
      </c>
      <c r="Z73" s="132">
        <v>0.2</v>
      </c>
      <c r="AA73" s="133">
        <v>0.8</v>
      </c>
      <c r="AB73" s="134">
        <v>0.8</v>
      </c>
      <c r="AC73" s="100">
        <v>1</v>
      </c>
      <c r="AD73" s="301">
        <f>11/12</f>
        <v>0.91666666666666663</v>
      </c>
      <c r="AE73" s="196">
        <v>1</v>
      </c>
      <c r="AF73" s="89" t="s">
        <v>269</v>
      </c>
      <c r="AG73" s="43" t="s">
        <v>268</v>
      </c>
    </row>
    <row r="74" spans="1:33" ht="15" customHeight="1" thickBot="1" x14ac:dyDescent="0.35">
      <c r="F74" s="19"/>
      <c r="N74" s="176">
        <f>AVERAGE(N15:N62)</f>
        <v>0.94749079730591079</v>
      </c>
      <c r="R74" s="95"/>
      <c r="W74" s="19"/>
      <c r="X74" s="118"/>
      <c r="Y74" s="126"/>
      <c r="Z74" s="126"/>
      <c r="AE74" s="313"/>
    </row>
    <row r="75" spans="1:33" x14ac:dyDescent="0.3">
      <c r="F75" s="19"/>
      <c r="W75" s="19"/>
      <c r="X75" s="118"/>
      <c r="Y75" s="126"/>
      <c r="Z75" s="126"/>
      <c r="AC75" s="124"/>
      <c r="AD75" s="141"/>
    </row>
    <row r="76" spans="1:33" ht="15" customHeight="1" x14ac:dyDescent="0.3">
      <c r="W76" s="19"/>
      <c r="X76" s="118"/>
    </row>
    <row r="77" spans="1:33" x14ac:dyDescent="0.3">
      <c r="W77" s="19"/>
      <c r="X77" s="118"/>
    </row>
    <row r="78" spans="1:33" ht="15" customHeight="1" x14ac:dyDescent="0.3">
      <c r="W78" s="19"/>
      <c r="X78" s="118"/>
    </row>
    <row r="80" spans="1:33" x14ac:dyDescent="0.3">
      <c r="F80" s="193" t="s">
        <v>383</v>
      </c>
    </row>
    <row r="81" spans="6:6" x14ac:dyDescent="0.3">
      <c r="F81" s="193" t="s">
        <v>384</v>
      </c>
    </row>
    <row r="82" spans="6:6" ht="15" customHeight="1" x14ac:dyDescent="0.3"/>
    <row r="83" spans="6:6" ht="12.75" customHeight="1" x14ac:dyDescent="0.3">
      <c r="F83" s="192" t="s">
        <v>385</v>
      </c>
    </row>
    <row r="84" spans="6:6" ht="12.75" customHeight="1" x14ac:dyDescent="0.3">
      <c r="F84" s="192" t="s">
        <v>386</v>
      </c>
    </row>
    <row r="85" spans="6:6" ht="12.75" customHeight="1" x14ac:dyDescent="0.3"/>
    <row r="88" spans="6:6" ht="15" customHeight="1" x14ac:dyDescent="0.3"/>
    <row r="91" spans="6:6" ht="15" customHeight="1" x14ac:dyDescent="0.3"/>
  </sheetData>
  <protectedRanges>
    <protectedRange sqref="E46 E45:G45 I45:I46 S45 U45" name="Rango1_8"/>
  </protectedRanges>
  <mergeCells count="246">
    <mergeCell ref="M20:M21"/>
    <mergeCell ref="M22:M23"/>
    <mergeCell ref="M24:M25"/>
    <mergeCell ref="M26:M29"/>
    <mergeCell ref="M30:M31"/>
    <mergeCell ref="M32:M33"/>
    <mergeCell ref="M34:M36"/>
    <mergeCell ref="M38:M41"/>
    <mergeCell ref="O18:O19"/>
    <mergeCell ref="O20:O21"/>
    <mergeCell ref="O22:O23"/>
    <mergeCell ref="O24:O25"/>
    <mergeCell ref="O26:O29"/>
    <mergeCell ref="O30:O31"/>
    <mergeCell ref="O32:O33"/>
    <mergeCell ref="O34:O36"/>
    <mergeCell ref="O38:O41"/>
    <mergeCell ref="N18:N19"/>
    <mergeCell ref="N20:N21"/>
    <mergeCell ref="N22:N23"/>
    <mergeCell ref="N24:N25"/>
    <mergeCell ref="N26:N29"/>
    <mergeCell ref="N30:N31"/>
    <mergeCell ref="N32:N33"/>
    <mergeCell ref="I62:I73"/>
    <mergeCell ref="J62:J73"/>
    <mergeCell ref="K62:K73"/>
    <mergeCell ref="L62:L73"/>
    <mergeCell ref="P62:P73"/>
    <mergeCell ref="I60:I61"/>
    <mergeCell ref="J60:J61"/>
    <mergeCell ref="K60:K61"/>
    <mergeCell ref="L60:L61"/>
    <mergeCell ref="P60:P61"/>
    <mergeCell ref="M60:M61"/>
    <mergeCell ref="M62:M73"/>
    <mergeCell ref="O60:O61"/>
    <mergeCell ref="O62:O73"/>
    <mergeCell ref="N60:N61"/>
    <mergeCell ref="N62:N73"/>
    <mergeCell ref="C59:D59"/>
    <mergeCell ref="A53:A58"/>
    <mergeCell ref="B53:B58"/>
    <mergeCell ref="C53:D58"/>
    <mergeCell ref="F53:F58"/>
    <mergeCell ref="G53:G58"/>
    <mergeCell ref="H53:H58"/>
    <mergeCell ref="A62:A73"/>
    <mergeCell ref="B62:B73"/>
    <mergeCell ref="C62:D73"/>
    <mergeCell ref="F62:F73"/>
    <mergeCell ref="G62:G73"/>
    <mergeCell ref="A60:A61"/>
    <mergeCell ref="B60:B61"/>
    <mergeCell ref="C60:D61"/>
    <mergeCell ref="F60:F61"/>
    <mergeCell ref="G60:G61"/>
    <mergeCell ref="H62:H73"/>
    <mergeCell ref="H60:H61"/>
    <mergeCell ref="E62:E73"/>
    <mergeCell ref="L48:L52"/>
    <mergeCell ref="P48:P52"/>
    <mergeCell ref="A48:A52"/>
    <mergeCell ref="B48:B52"/>
    <mergeCell ref="C48:D52"/>
    <mergeCell ref="F48:F52"/>
    <mergeCell ref="G48:G52"/>
    <mergeCell ref="H48:H52"/>
    <mergeCell ref="I53:I58"/>
    <mergeCell ref="J53:J58"/>
    <mergeCell ref="K53:K58"/>
    <mergeCell ref="L53:L58"/>
    <mergeCell ref="P53:P58"/>
    <mergeCell ref="E53:E58"/>
    <mergeCell ref="M48:M52"/>
    <mergeCell ref="M53:M58"/>
    <mergeCell ref="O48:O52"/>
    <mergeCell ref="O53:O58"/>
    <mergeCell ref="N48:N52"/>
    <mergeCell ref="N53:N58"/>
    <mergeCell ref="C43:D43"/>
    <mergeCell ref="C44:D44"/>
    <mergeCell ref="C45:D45"/>
    <mergeCell ref="C46:D46"/>
    <mergeCell ref="C47:D47"/>
    <mergeCell ref="I38:I41"/>
    <mergeCell ref="J38:J41"/>
    <mergeCell ref="K38:K41"/>
    <mergeCell ref="I48:I52"/>
    <mergeCell ref="J48:J52"/>
    <mergeCell ref="K48:K52"/>
    <mergeCell ref="E48:E52"/>
    <mergeCell ref="L38:L41"/>
    <mergeCell ref="P38:P41"/>
    <mergeCell ref="C42:D42"/>
    <mergeCell ref="K34:K36"/>
    <mergeCell ref="L34:L36"/>
    <mergeCell ref="P34:P36"/>
    <mergeCell ref="C37:D37"/>
    <mergeCell ref="A38:A41"/>
    <mergeCell ref="B38:B41"/>
    <mergeCell ref="C38:D41"/>
    <mergeCell ref="F38:F41"/>
    <mergeCell ref="G38:G41"/>
    <mergeCell ref="H38:H41"/>
    <mergeCell ref="N34:N36"/>
    <mergeCell ref="N38:N41"/>
    <mergeCell ref="A30:A31"/>
    <mergeCell ref="B30:B31"/>
    <mergeCell ref="C30:C31"/>
    <mergeCell ref="D30:D31"/>
    <mergeCell ref="E30:E31"/>
    <mergeCell ref="F30:F31"/>
    <mergeCell ref="L32:L33"/>
    <mergeCell ref="P32:P33"/>
    <mergeCell ref="A34:A36"/>
    <mergeCell ref="B34:B36"/>
    <mergeCell ref="C34:D36"/>
    <mergeCell ref="F34:F36"/>
    <mergeCell ref="G34:G36"/>
    <mergeCell ref="H34:H36"/>
    <mergeCell ref="I34:I36"/>
    <mergeCell ref="J34:J36"/>
    <mergeCell ref="A32:A33"/>
    <mergeCell ref="B32:B33"/>
    <mergeCell ref="C32:D33"/>
    <mergeCell ref="F32:F33"/>
    <mergeCell ref="G32:G33"/>
    <mergeCell ref="H32:H33"/>
    <mergeCell ref="I32:I33"/>
    <mergeCell ref="J32:J33"/>
    <mergeCell ref="K32:K33"/>
    <mergeCell ref="A26:A29"/>
    <mergeCell ref="B26:B29"/>
    <mergeCell ref="C26:D29"/>
    <mergeCell ref="E26:E29"/>
    <mergeCell ref="F26:F29"/>
    <mergeCell ref="G26:G29"/>
    <mergeCell ref="L22:L23"/>
    <mergeCell ref="P22:P23"/>
    <mergeCell ref="C23:D23"/>
    <mergeCell ref="C24:D24"/>
    <mergeCell ref="E24:E25"/>
    <mergeCell ref="F24:F25"/>
    <mergeCell ref="G24:G25"/>
    <mergeCell ref="H24:H25"/>
    <mergeCell ref="I24:I25"/>
    <mergeCell ref="J24:J25"/>
    <mergeCell ref="H26:H29"/>
    <mergeCell ref="I26:I29"/>
    <mergeCell ref="J26:J29"/>
    <mergeCell ref="K26:K29"/>
    <mergeCell ref="L26:L29"/>
    <mergeCell ref="P26:P29"/>
    <mergeCell ref="K24:K25"/>
    <mergeCell ref="L24:L25"/>
    <mergeCell ref="C22:D22"/>
    <mergeCell ref="E22:E23"/>
    <mergeCell ref="F22:F23"/>
    <mergeCell ref="G22:G23"/>
    <mergeCell ref="H22:H23"/>
    <mergeCell ref="I22:I23"/>
    <mergeCell ref="J22:J23"/>
    <mergeCell ref="K22:K23"/>
    <mergeCell ref="C25:D25"/>
    <mergeCell ref="C21:D21"/>
    <mergeCell ref="F12:F14"/>
    <mergeCell ref="G12:K12"/>
    <mergeCell ref="C15:D15"/>
    <mergeCell ref="C16:D16"/>
    <mergeCell ref="C20:D20"/>
    <mergeCell ref="E20:E21"/>
    <mergeCell ref="F20:F21"/>
    <mergeCell ref="G20:G21"/>
    <mergeCell ref="H20:H21"/>
    <mergeCell ref="I20:I21"/>
    <mergeCell ref="J20:J21"/>
    <mergeCell ref="K20:K21"/>
    <mergeCell ref="C17:D17"/>
    <mergeCell ref="E18:E19"/>
    <mergeCell ref="F18:F19"/>
    <mergeCell ref="C12:D14"/>
    <mergeCell ref="AG12:AG14"/>
    <mergeCell ref="G13:G14"/>
    <mergeCell ref="H13:H14"/>
    <mergeCell ref="I13:I14"/>
    <mergeCell ref="J13:K13"/>
    <mergeCell ref="S13:S14"/>
    <mergeCell ref="T13:T14"/>
    <mergeCell ref="U13:U14"/>
    <mergeCell ref="V13:W13"/>
    <mergeCell ref="Z12:Z14"/>
    <mergeCell ref="AA12:AA14"/>
    <mergeCell ref="AB12:AB14"/>
    <mergeCell ref="AD12:AD14"/>
    <mergeCell ref="AE12:AE14"/>
    <mergeCell ref="AF12:AF14"/>
    <mergeCell ref="L12:L14"/>
    <mergeCell ref="P12:P14"/>
    <mergeCell ref="Q12:Q14"/>
    <mergeCell ref="M12:M14"/>
    <mergeCell ref="O12:O14"/>
    <mergeCell ref="N12:N14"/>
    <mergeCell ref="Y12:Y14"/>
    <mergeCell ref="AC12:AC14"/>
    <mergeCell ref="E32:E33"/>
    <mergeCell ref="E38:E41"/>
    <mergeCell ref="E34:E36"/>
    <mergeCell ref="E60:E61"/>
    <mergeCell ref="R12:R14"/>
    <mergeCell ref="S12:W12"/>
    <mergeCell ref="H18:H19"/>
    <mergeCell ref="I18:I19"/>
    <mergeCell ref="J18:J19"/>
    <mergeCell ref="K18:K19"/>
    <mergeCell ref="L18:L19"/>
    <mergeCell ref="P20:P21"/>
    <mergeCell ref="L20:L21"/>
    <mergeCell ref="P24:P25"/>
    <mergeCell ref="P30:P31"/>
    <mergeCell ref="G30:G31"/>
    <mergeCell ref="H30:H31"/>
    <mergeCell ref="I30:I31"/>
    <mergeCell ref="J30:J31"/>
    <mergeCell ref="K30:K31"/>
    <mergeCell ref="L30:L31"/>
    <mergeCell ref="E12:E14"/>
    <mergeCell ref="P18:P19"/>
    <mergeCell ref="G18:G19"/>
    <mergeCell ref="A18:A19"/>
    <mergeCell ref="B18:B19"/>
    <mergeCell ref="C18:D19"/>
    <mergeCell ref="D1:Z1"/>
    <mergeCell ref="D2:Z2"/>
    <mergeCell ref="D3:Z3"/>
    <mergeCell ref="D4:Z4"/>
    <mergeCell ref="D6:Z6"/>
    <mergeCell ref="D7:Z7"/>
    <mergeCell ref="X12:X14"/>
    <mergeCell ref="D8:Z8"/>
    <mergeCell ref="D9:Z9"/>
    <mergeCell ref="A11:D11"/>
    <mergeCell ref="F11:Z11"/>
    <mergeCell ref="A12:A14"/>
    <mergeCell ref="B12:B14"/>
    <mergeCell ref="M18:M19"/>
  </mergeCells>
  <dataValidations count="1">
    <dataValidation operator="greaterThan" allowBlank="1" showInputMessage="1" showErrorMessage="1" sqref="F53:F61 R44"/>
  </dataValidations>
  <hyperlinks>
    <hyperlink ref="AG33" r:id="rId1"/>
    <hyperlink ref="AG42" r:id="rId2"/>
    <hyperlink ref="AG48" r:id="rId3"/>
    <hyperlink ref="AG50" r:id="rId4"/>
    <hyperlink ref="AG49" r:id="rId5"/>
    <hyperlink ref="AG62" r:id="rId6"/>
    <hyperlink ref="AG52" r:id="rId7"/>
    <hyperlink ref="AG59" r:id="rId8"/>
    <hyperlink ref="AG47" r:id="rId9"/>
    <hyperlink ref="AG51" r:id="rId10"/>
    <hyperlink ref="AG56" r:id="rId11"/>
    <hyperlink ref="AG60" r:id="rId12"/>
    <hyperlink ref="AG61" r:id="rId13"/>
    <hyperlink ref="AG71" r:id="rId14"/>
    <hyperlink ref="AG72" r:id="rId15"/>
    <hyperlink ref="AG73" r:id="rId16"/>
    <hyperlink ref="AG53" r:id="rId17"/>
    <hyperlink ref="AG54" r:id="rId18"/>
  </hyperlinks>
  <pageMargins left="1.299212598425197" right="0.70866141732283472" top="0.74803149606299213" bottom="0.74803149606299213" header="0.31496062992125984" footer="0.31496062992125984"/>
  <pageSetup paperSize="5" scale="65" orientation="landscape" r:id="rId19"/>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Plan Indicativo - II sem 2019</vt:lpstr>
      <vt:lpstr>' Plan Indicativo - II sem 2019'!Títulos_a_imprimir</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DAYANNI</cp:lastModifiedBy>
  <cp:lastPrinted>2019-08-09T23:28:51Z</cp:lastPrinted>
  <dcterms:created xsi:type="dcterms:W3CDTF">2019-02-03T07:10:42Z</dcterms:created>
  <dcterms:modified xsi:type="dcterms:W3CDTF">2020-01-31T17:28:06Z</dcterms:modified>
</cp:coreProperties>
</file>